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ДОГОВОРА 1 пол-е 2025\82\"/>
    </mc:Choice>
  </mc:AlternateContent>
  <xr:revisionPtr revIDLastSave="0" documentId="13_ncr:1_{86BCA1A3-2E89-4C54-87EA-A18A0A4D678C}" xr6:coauthVersionLast="36" xr6:coauthVersionMax="36" xr10:uidLastSave="{00000000-0000-0000-0000-000000000000}"/>
  <bookViews>
    <workbookView xWindow="0" yWindow="0" windowWidth="19200" windowHeight="6930" activeTab="3" xr2:uid="{00000000-000D-0000-FFFF-FFFF00000000}"/>
  </bookViews>
  <sheets>
    <sheet name="Данные" sheetId="6" r:id="rId1"/>
    <sheet name="анализ" sheetId="1" r:id="rId2"/>
    <sheet name="Характеристика" sheetId="4" r:id="rId3"/>
    <sheet name="Спецификация" sheetId="5" r:id="rId4"/>
  </sheets>
  <definedNames>
    <definedName name="_xlnm._FilterDatabase" localSheetId="2" hidden="1">Характеристика!$A$1:$B$52</definedName>
  </definedNames>
  <calcPr calcId="191029" refMode="R1C1"/>
</workbook>
</file>

<file path=xl/calcChain.xml><?xml version="1.0" encoding="utf-8"?>
<calcChain xmlns="http://schemas.openxmlformats.org/spreadsheetml/2006/main">
  <c r="B4" i="1" l="1"/>
  <c r="B5" i="1"/>
  <c r="G30" i="5"/>
  <c r="A30" i="5"/>
  <c r="D41" i="1" l="1"/>
  <c r="C14" i="5" l="1"/>
  <c r="C4" i="5" l="1"/>
  <c r="C5" i="5"/>
  <c r="C6" i="5"/>
  <c r="C7" i="5"/>
  <c r="C8" i="5"/>
  <c r="C9" i="5"/>
  <c r="C10" i="5"/>
  <c r="C11" i="5"/>
  <c r="C12" i="5"/>
  <c r="C13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3" i="5"/>
  <c r="W32" i="1" l="1"/>
  <c r="G27" i="5" s="1"/>
  <c r="O32" i="1"/>
  <c r="N32" i="1"/>
  <c r="H32" i="1"/>
  <c r="G32" i="1"/>
  <c r="E32" i="1"/>
  <c r="V55" i="6"/>
  <c r="W55" i="6"/>
  <c r="W56" i="6"/>
  <c r="W57" i="6"/>
  <c r="W58" i="6"/>
  <c r="W59" i="6"/>
  <c r="W60" i="6"/>
  <c r="W61" i="6"/>
  <c r="W62" i="6"/>
  <c r="W63" i="6"/>
  <c r="W64" i="6"/>
  <c r="W65" i="6"/>
  <c r="W66" i="6"/>
  <c r="V56" i="6"/>
  <c r="V57" i="6"/>
  <c r="V58" i="6"/>
  <c r="V59" i="6"/>
  <c r="V60" i="6"/>
  <c r="V61" i="6"/>
  <c r="V62" i="6"/>
  <c r="V63" i="6"/>
  <c r="V64" i="6"/>
  <c r="V65" i="6"/>
  <c r="V66" i="6"/>
  <c r="M16" i="6"/>
  <c r="M27" i="6"/>
  <c r="J27" i="6"/>
  <c r="M19" i="6"/>
  <c r="J19" i="6"/>
  <c r="J16" i="6"/>
  <c r="O32" i="6"/>
  <c r="O33" i="6"/>
  <c r="O34" i="6"/>
  <c r="O35" i="6"/>
  <c r="O36" i="6"/>
  <c r="O37" i="6"/>
  <c r="O38" i="6"/>
  <c r="O39" i="6"/>
  <c r="O40" i="6"/>
  <c r="O41" i="6"/>
  <c r="O42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F32" i="1" l="1"/>
  <c r="M32" i="1"/>
  <c r="I32" i="1"/>
  <c r="J32" i="1" s="1"/>
  <c r="K32" i="1" s="1"/>
  <c r="X66" i="6"/>
  <c r="X64" i="6"/>
  <c r="X62" i="6"/>
  <c r="X60" i="6"/>
  <c r="X58" i="6"/>
  <c r="X56" i="6"/>
  <c r="X55" i="6"/>
  <c r="L32" i="1"/>
  <c r="X65" i="6"/>
  <c r="X63" i="6"/>
  <c r="X61" i="6"/>
  <c r="X59" i="6"/>
  <c r="X57" i="6"/>
  <c r="E9" i="1"/>
  <c r="M9" i="1" s="1"/>
  <c r="W7" i="6" s="1"/>
  <c r="E10" i="1"/>
  <c r="F10" i="1" s="1"/>
  <c r="V8" i="6" s="1"/>
  <c r="E11" i="1"/>
  <c r="M11" i="1" s="1"/>
  <c r="W9" i="6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8" i="1"/>
  <c r="F8" i="1" s="1"/>
  <c r="V6" i="6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F9" i="1"/>
  <c r="V7" i="6" s="1"/>
  <c r="M8" i="1" l="1"/>
  <c r="W6" i="6" s="1"/>
  <c r="M31" i="1"/>
  <c r="F31" i="1"/>
  <c r="V54" i="6" s="1"/>
  <c r="F29" i="1"/>
  <c r="V52" i="6" s="1"/>
  <c r="M29" i="1"/>
  <c r="M27" i="1"/>
  <c r="F27" i="1"/>
  <c r="V50" i="6" s="1"/>
  <c r="M25" i="1"/>
  <c r="F25" i="1"/>
  <c r="V48" i="6" s="1"/>
  <c r="M23" i="1"/>
  <c r="F23" i="1"/>
  <c r="V46" i="6" s="1"/>
  <c r="M21" i="1"/>
  <c r="F21" i="1"/>
  <c r="V44" i="6" s="1"/>
  <c r="M19" i="1"/>
  <c r="F19" i="1"/>
  <c r="V42" i="6" s="1"/>
  <c r="V36" i="6"/>
  <c r="V34" i="6"/>
  <c r="M17" i="1"/>
  <c r="F17" i="1"/>
  <c r="V32" i="6" s="1"/>
  <c r="V28" i="6"/>
  <c r="V22" i="6"/>
  <c r="V18" i="6"/>
  <c r="F12" i="1"/>
  <c r="V14" i="6" s="1"/>
  <c r="M12" i="1"/>
  <c r="M26" i="1"/>
  <c r="F26" i="1"/>
  <c r="V49" i="6" s="1"/>
  <c r="M24" i="1"/>
  <c r="F24" i="1"/>
  <c r="V47" i="6" s="1"/>
  <c r="M22" i="1"/>
  <c r="F22" i="1"/>
  <c r="V45" i="6" s="1"/>
  <c r="M20" i="1"/>
  <c r="F20" i="1"/>
  <c r="V43" i="6" s="1"/>
  <c r="M18" i="1"/>
  <c r="F18" i="1"/>
  <c r="V41" i="6" s="1"/>
  <c r="V33" i="6"/>
  <c r="M16" i="1"/>
  <c r="F16" i="1"/>
  <c r="V31" i="6" s="1"/>
  <c r="V29" i="6"/>
  <c r="V27" i="6"/>
  <c r="V21" i="6"/>
  <c r="V19" i="6"/>
  <c r="P32" i="1"/>
  <c r="Q32" i="1" s="1"/>
  <c r="R32" i="1" s="1"/>
  <c r="S32" i="1" s="1"/>
  <c r="T32" i="1" s="1"/>
  <c r="V32" i="1" s="1"/>
  <c r="F11" i="1"/>
  <c r="V9" i="6" s="1"/>
  <c r="X9" i="6" s="1"/>
  <c r="M10" i="1"/>
  <c r="W8" i="6" s="1"/>
  <c r="X8" i="6" s="1"/>
  <c r="X6" i="6"/>
  <c r="X7" i="6"/>
  <c r="C32" i="1" l="1"/>
  <c r="E27" i="5" s="1"/>
  <c r="H27" i="5" s="1"/>
  <c r="X32" i="1"/>
  <c r="J17" i="6"/>
  <c r="L16" i="6"/>
  <c r="J15" i="6"/>
  <c r="L15" i="6" s="1"/>
  <c r="J13" i="6"/>
  <c r="J11" i="6"/>
  <c r="J10" i="6"/>
  <c r="J9" i="6"/>
  <c r="J8" i="6"/>
  <c r="J7" i="6"/>
  <c r="J6" i="6"/>
  <c r="J20" i="6"/>
  <c r="L20" i="6" s="1"/>
  <c r="J21" i="6"/>
  <c r="L21" i="6" s="1"/>
  <c r="J22" i="6"/>
  <c r="L22" i="6" s="1"/>
  <c r="J26" i="6"/>
  <c r="L26" i="6" s="1"/>
  <c r="J25" i="6"/>
  <c r="L25" i="6" s="1"/>
  <c r="J24" i="6"/>
  <c r="L24" i="6" s="1"/>
  <c r="J23" i="6"/>
  <c r="M23" i="6"/>
  <c r="O27" i="6"/>
  <c r="L27" i="6"/>
  <c r="M26" i="6"/>
  <c r="M25" i="6"/>
  <c r="M24" i="6"/>
  <c r="O24" i="6" s="1"/>
  <c r="M22" i="6"/>
  <c r="O22" i="6" s="1"/>
  <c r="M21" i="6"/>
  <c r="M20" i="6"/>
  <c r="O20" i="6" s="1"/>
  <c r="O19" i="6"/>
  <c r="M18" i="6"/>
  <c r="M17" i="6"/>
  <c r="O16" i="6"/>
  <c r="M15" i="6"/>
  <c r="O15" i="6" s="1"/>
  <c r="J12" i="6"/>
  <c r="L12" i="6" s="1"/>
  <c r="J14" i="6"/>
  <c r="L14" i="6" s="1"/>
  <c r="M14" i="6"/>
  <c r="O14" i="6" s="1"/>
  <c r="M13" i="6"/>
  <c r="O13" i="6" s="1"/>
  <c r="M12" i="6"/>
  <c r="O12" i="6" s="1"/>
  <c r="M11" i="6"/>
  <c r="O11" i="6" s="1"/>
  <c r="M10" i="6"/>
  <c r="M9" i="6"/>
  <c r="O9" i="6" s="1"/>
  <c r="M8" i="6"/>
  <c r="O8" i="6" s="1"/>
  <c r="M7" i="6"/>
  <c r="O7" i="6" s="1"/>
  <c r="M6" i="6"/>
  <c r="O31" i="6"/>
  <c r="O30" i="6"/>
  <c r="O29" i="6"/>
  <c r="O28" i="6"/>
  <c r="O26" i="6"/>
  <c r="O25" i="6"/>
  <c r="O23" i="6"/>
  <c r="O21" i="6"/>
  <c r="O18" i="6"/>
  <c r="O17" i="6"/>
  <c r="O10" i="6"/>
  <c r="O6" i="6"/>
  <c r="L28" i="6"/>
  <c r="L23" i="6"/>
  <c r="L19" i="6"/>
  <c r="L18" i="6"/>
  <c r="K17" i="6"/>
  <c r="L17" i="6" s="1"/>
  <c r="L13" i="6"/>
  <c r="L11" i="6"/>
  <c r="L10" i="6"/>
  <c r="L9" i="6"/>
  <c r="L8" i="6"/>
  <c r="L7" i="6"/>
  <c r="L6" i="6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3" i="5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8" i="1"/>
  <c r="T8" i="1" l="1"/>
  <c r="V8" i="1" s="1"/>
  <c r="L31" i="1"/>
  <c r="L29" i="1"/>
  <c r="L27" i="1"/>
  <c r="L26" i="1"/>
  <c r="L25" i="1"/>
  <c r="L24" i="1"/>
  <c r="L23" i="1"/>
  <c r="L22" i="1"/>
  <c r="L21" i="1"/>
  <c r="L20" i="1"/>
  <c r="L19" i="1"/>
  <c r="L18" i="1"/>
  <c r="L17" i="1"/>
  <c r="L16" i="1"/>
  <c r="L12" i="1"/>
  <c r="L11" i="1"/>
  <c r="L10" i="1"/>
  <c r="L9" i="1"/>
  <c r="T9" i="1"/>
  <c r="V9" i="1" s="1"/>
  <c r="T10" i="1"/>
  <c r="V10" i="1" s="1"/>
  <c r="T11" i="1"/>
  <c r="V11" i="1" s="1"/>
  <c r="T12" i="1"/>
  <c r="V12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9" i="1"/>
  <c r="V29" i="1" s="1"/>
  <c r="T31" i="1"/>
  <c r="V31" i="1" s="1"/>
  <c r="S9" i="1"/>
  <c r="S10" i="1"/>
  <c r="S11" i="1"/>
  <c r="S8" i="1"/>
  <c r="L8" i="1"/>
  <c r="C27" i="1" l="1"/>
  <c r="E22" i="5" s="1"/>
  <c r="H22" i="5" s="1"/>
  <c r="X27" i="1"/>
  <c r="C23" i="1"/>
  <c r="E18" i="5" s="1"/>
  <c r="H18" i="5" s="1"/>
  <c r="X23" i="1"/>
  <c r="C19" i="1"/>
  <c r="E14" i="5" s="1"/>
  <c r="H14" i="5" s="1"/>
  <c r="X19" i="1"/>
  <c r="C16" i="1"/>
  <c r="E11" i="5" s="1"/>
  <c r="H11" i="5" s="1"/>
  <c r="X16" i="1"/>
  <c r="C10" i="1"/>
  <c r="E5" i="5" s="1"/>
  <c r="H5" i="5" s="1"/>
  <c r="X10" i="1"/>
  <c r="C31" i="1"/>
  <c r="E26" i="5" s="1"/>
  <c r="H26" i="5" s="1"/>
  <c r="X31" i="1"/>
  <c r="C25" i="1"/>
  <c r="E20" i="5" s="1"/>
  <c r="H20" i="5" s="1"/>
  <c r="X25" i="1"/>
  <c r="C21" i="1"/>
  <c r="E16" i="5" s="1"/>
  <c r="H16" i="5" s="1"/>
  <c r="X21" i="1"/>
  <c r="C12" i="1"/>
  <c r="E7" i="5" s="1"/>
  <c r="H7" i="5" s="1"/>
  <c r="X12" i="1"/>
  <c r="C8" i="1"/>
  <c r="E3" i="5" s="1"/>
  <c r="H3" i="5" s="1"/>
  <c r="X8" i="1"/>
  <c r="C29" i="1"/>
  <c r="E24" i="5" s="1"/>
  <c r="H24" i="5" s="1"/>
  <c r="X29" i="1"/>
  <c r="C26" i="1"/>
  <c r="E21" i="5" s="1"/>
  <c r="H21" i="5" s="1"/>
  <c r="X26" i="1"/>
  <c r="C24" i="1"/>
  <c r="E19" i="5" s="1"/>
  <c r="H19" i="5" s="1"/>
  <c r="X24" i="1"/>
  <c r="C22" i="1"/>
  <c r="E17" i="5" s="1"/>
  <c r="H17" i="5" s="1"/>
  <c r="X22" i="1"/>
  <c r="C20" i="1"/>
  <c r="E15" i="5" s="1"/>
  <c r="H15" i="5" s="1"/>
  <c r="X20" i="1"/>
  <c r="C18" i="1"/>
  <c r="E13" i="5" s="1"/>
  <c r="H13" i="5" s="1"/>
  <c r="X18" i="1"/>
  <c r="C17" i="1"/>
  <c r="E12" i="5" s="1"/>
  <c r="H12" i="5" s="1"/>
  <c r="X17" i="1"/>
  <c r="C11" i="1"/>
  <c r="E6" i="5" s="1"/>
  <c r="H6" i="5" s="1"/>
  <c r="X11" i="1"/>
  <c r="C9" i="1"/>
  <c r="E4" i="5" s="1"/>
  <c r="H4" i="5" s="1"/>
  <c r="X9" i="1"/>
  <c r="P9" i="1"/>
  <c r="Q9" i="1" s="1"/>
  <c r="R9" i="1" s="1"/>
  <c r="P10" i="1"/>
  <c r="Q10" i="1" s="1"/>
  <c r="R10" i="1" s="1"/>
  <c r="P11" i="1"/>
  <c r="Q11" i="1" s="1"/>
  <c r="R11" i="1" s="1"/>
  <c r="P12" i="1"/>
  <c r="Q12" i="1" s="1"/>
  <c r="R12" i="1" s="1"/>
  <c r="P16" i="1"/>
  <c r="Q16" i="1" s="1"/>
  <c r="R16" i="1" s="1"/>
  <c r="P17" i="1"/>
  <c r="Q17" i="1" s="1"/>
  <c r="R17" i="1" s="1"/>
  <c r="P18" i="1"/>
  <c r="Q18" i="1" s="1"/>
  <c r="R18" i="1" s="1"/>
  <c r="P19" i="1"/>
  <c r="Q19" i="1" s="1"/>
  <c r="R19" i="1" s="1"/>
  <c r="P20" i="1"/>
  <c r="Q20" i="1" s="1"/>
  <c r="R20" i="1" s="1"/>
  <c r="P21" i="1"/>
  <c r="Q21" i="1" s="1"/>
  <c r="R21" i="1" s="1"/>
  <c r="P22" i="1"/>
  <c r="Q22" i="1" s="1"/>
  <c r="R22" i="1" s="1"/>
  <c r="P23" i="1"/>
  <c r="Q23" i="1" s="1"/>
  <c r="R23" i="1" s="1"/>
  <c r="P24" i="1"/>
  <c r="Q24" i="1" s="1"/>
  <c r="R24" i="1" s="1"/>
  <c r="P25" i="1"/>
  <c r="Q25" i="1" s="1"/>
  <c r="R25" i="1" s="1"/>
  <c r="P26" i="1"/>
  <c r="Q26" i="1" s="1"/>
  <c r="R26" i="1" s="1"/>
  <c r="P27" i="1"/>
  <c r="Q27" i="1" s="1"/>
  <c r="R27" i="1" s="1"/>
  <c r="P29" i="1"/>
  <c r="Q29" i="1" s="1"/>
  <c r="R29" i="1" s="1"/>
  <c r="P31" i="1"/>
  <c r="Q31" i="1" s="1"/>
  <c r="R31" i="1" s="1"/>
  <c r="P8" i="1"/>
  <c r="Q8" i="1" s="1"/>
  <c r="R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F13" i="1" s="1"/>
  <c r="I14" i="1"/>
  <c r="J14" i="1" s="1"/>
  <c r="K14" i="1" s="1"/>
  <c r="I15" i="1"/>
  <c r="J15" i="1" s="1"/>
  <c r="K15" i="1" s="1"/>
  <c r="F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F28" i="1" s="1"/>
  <c r="I29" i="1"/>
  <c r="J29" i="1" s="1"/>
  <c r="K29" i="1" s="1"/>
  <c r="I30" i="1"/>
  <c r="J30" i="1" s="1"/>
  <c r="K30" i="1" s="1"/>
  <c r="F30" i="1" s="1"/>
  <c r="I31" i="1"/>
  <c r="J31" i="1" s="1"/>
  <c r="K31" i="1" s="1"/>
  <c r="I8" i="1"/>
  <c r="J8" i="1" s="1"/>
  <c r="K8" i="1" s="1"/>
  <c r="V13" i="6" l="1"/>
  <c r="V40" i="6"/>
  <c r="V38" i="6"/>
  <c r="V26" i="6"/>
  <c r="V24" i="6"/>
  <c r="V20" i="6"/>
  <c r="F14" i="1"/>
  <c r="V16" i="6" s="1"/>
  <c r="V11" i="6"/>
  <c r="W54" i="6"/>
  <c r="X54" i="6" s="1"/>
  <c r="S31" i="1"/>
  <c r="W52" i="6"/>
  <c r="X52" i="6" s="1"/>
  <c r="S29" i="1"/>
  <c r="W48" i="6"/>
  <c r="X48" i="6" s="1"/>
  <c r="S25" i="1"/>
  <c r="W46" i="6"/>
  <c r="X46" i="6" s="1"/>
  <c r="S23" i="1"/>
  <c r="W44" i="6"/>
  <c r="X44" i="6" s="1"/>
  <c r="S21" i="1"/>
  <c r="W42" i="6"/>
  <c r="X42" i="6" s="1"/>
  <c r="S19" i="1"/>
  <c r="W50" i="6"/>
  <c r="X50" i="6" s="1"/>
  <c r="S27" i="1"/>
  <c r="W49" i="6"/>
  <c r="X49" i="6" s="1"/>
  <c r="S26" i="1"/>
  <c r="W47" i="6"/>
  <c r="X47" i="6" s="1"/>
  <c r="S24" i="1"/>
  <c r="W45" i="6"/>
  <c r="X45" i="6" s="1"/>
  <c r="S22" i="1"/>
  <c r="W43" i="6"/>
  <c r="X43" i="6" s="1"/>
  <c r="S20" i="1"/>
  <c r="W41" i="6"/>
  <c r="X41" i="6" s="1"/>
  <c r="S18" i="1"/>
  <c r="W36" i="6"/>
  <c r="X36" i="6" s="1"/>
  <c r="W33" i="6"/>
  <c r="X33" i="6" s="1"/>
  <c r="W34" i="6"/>
  <c r="X34" i="6" s="1"/>
  <c r="W32" i="6"/>
  <c r="X32" i="6" s="1"/>
  <c r="S17" i="1"/>
  <c r="W31" i="6"/>
  <c r="X31" i="6" s="1"/>
  <c r="S16" i="1"/>
  <c r="W28" i="6"/>
  <c r="X28" i="6" s="1"/>
  <c r="W29" i="6"/>
  <c r="X29" i="6" s="1"/>
  <c r="W27" i="6"/>
  <c r="X27" i="6" s="1"/>
  <c r="W22" i="6"/>
  <c r="X22" i="6" s="1"/>
  <c r="W21" i="6"/>
  <c r="X21" i="6" s="1"/>
  <c r="W19" i="6"/>
  <c r="X19" i="6" s="1"/>
  <c r="W18" i="6"/>
  <c r="X18" i="6" s="1"/>
  <c r="W14" i="6"/>
  <c r="X14" i="6" s="1"/>
  <c r="S12" i="1"/>
  <c r="V10" i="6"/>
  <c r="V12" i="6"/>
  <c r="V51" i="6"/>
  <c r="V39" i="6"/>
  <c r="V37" i="6"/>
  <c r="V25" i="6"/>
  <c r="V23" i="6"/>
  <c r="V17" i="6"/>
  <c r="V15" i="6"/>
  <c r="V53" i="6"/>
  <c r="V35" i="6"/>
  <c r="V30" i="6" l="1"/>
  <c r="L14" i="1"/>
  <c r="P14" i="1"/>
  <c r="Q14" i="1" s="1"/>
  <c r="R14" i="1" s="1"/>
  <c r="M14" i="1" s="1"/>
  <c r="W16" i="6" s="1"/>
  <c r="X16" i="6" s="1"/>
  <c r="P15" i="1"/>
  <c r="Q15" i="1" s="1"/>
  <c r="R15" i="1" s="1"/>
  <c r="L15" i="1"/>
  <c r="P30" i="1"/>
  <c r="Q30" i="1" s="1"/>
  <c r="R30" i="1" s="1"/>
  <c r="M30" i="1" s="1"/>
  <c r="L30" i="1"/>
  <c r="P13" i="1"/>
  <c r="Q13" i="1" s="1"/>
  <c r="R13" i="1" s="1"/>
  <c r="L13" i="1"/>
  <c r="P28" i="1"/>
  <c r="Q28" i="1" s="1"/>
  <c r="R28" i="1" s="1"/>
  <c r="M28" i="1" s="1"/>
  <c r="L28" i="1"/>
  <c r="W10" i="6"/>
  <c r="W30" i="6" l="1"/>
  <c r="X30" i="6" s="1"/>
  <c r="W51" i="6"/>
  <c r="X51" i="6" s="1"/>
  <c r="W37" i="6"/>
  <c r="X37" i="6" s="1"/>
  <c r="W23" i="6"/>
  <c r="X23" i="6" s="1"/>
  <c r="M13" i="1"/>
  <c r="W15" i="6" s="1"/>
  <c r="X15" i="6" s="1"/>
  <c r="W53" i="6"/>
  <c r="X53" i="6" s="1"/>
  <c r="W12" i="6"/>
  <c r="X12" i="6" s="1"/>
  <c r="W39" i="6"/>
  <c r="X39" i="6" s="1"/>
  <c r="W25" i="6"/>
  <c r="X25" i="6" s="1"/>
  <c r="M15" i="1"/>
  <c r="W17" i="6" s="1"/>
  <c r="X17" i="6" s="1"/>
  <c r="W35" i="6"/>
  <c r="X35" i="6" s="1"/>
  <c r="S14" i="1"/>
  <c r="T14" i="1" s="1"/>
  <c r="X10" i="6"/>
  <c r="V14" i="1" l="1"/>
  <c r="C14" i="1" s="1"/>
  <c r="E9" i="5" s="1"/>
  <c r="H9" i="5" s="1"/>
  <c r="S30" i="1"/>
  <c r="T30" i="1" s="1"/>
  <c r="V30" i="1" s="1"/>
  <c r="S13" i="1"/>
  <c r="T13" i="1" s="1"/>
  <c r="V13" i="1" s="1"/>
  <c r="S28" i="1"/>
  <c r="T28" i="1" s="1"/>
  <c r="V28" i="1" s="1"/>
  <c r="S15" i="1"/>
  <c r="T15" i="1" s="1"/>
  <c r="V15" i="1" s="1"/>
  <c r="W11" i="6"/>
  <c r="X11" i="6" s="1"/>
  <c r="W20" i="6"/>
  <c r="X20" i="6" s="1"/>
  <c r="W26" i="6"/>
  <c r="X26" i="6" s="1"/>
  <c r="W40" i="6"/>
  <c r="X40" i="6" s="1"/>
  <c r="W24" i="6"/>
  <c r="X24" i="6" s="1"/>
  <c r="W38" i="6"/>
  <c r="X38" i="6" s="1"/>
  <c r="W13" i="6"/>
  <c r="X13" i="6" s="1"/>
  <c r="X14" i="1" l="1"/>
  <c r="C13" i="1"/>
  <c r="E8" i="5" s="1"/>
  <c r="H8" i="5" s="1"/>
  <c r="X13" i="1"/>
  <c r="C28" i="1"/>
  <c r="E23" i="5" s="1"/>
  <c r="H23" i="5" s="1"/>
  <c r="X28" i="1"/>
  <c r="C30" i="1"/>
  <c r="E25" i="5" s="1"/>
  <c r="H25" i="5" s="1"/>
  <c r="X30" i="1"/>
  <c r="C15" i="1"/>
  <c r="E10" i="5" s="1"/>
  <c r="H10" i="5" s="1"/>
  <c r="X15" i="1"/>
  <c r="H28" i="5" l="1"/>
  <c r="H29" i="5" s="1"/>
  <c r="X33" i="1"/>
</calcChain>
</file>

<file path=xl/sharedStrings.xml><?xml version="1.0" encoding="utf-8"?>
<sst xmlns="http://schemas.openxmlformats.org/spreadsheetml/2006/main" count="490" uniqueCount="246">
  <si>
    <t>Стоимость, руб.</t>
  </si>
  <si>
    <t>Цена за единицу измерения, руб.</t>
  </si>
  <si>
    <t>Итого при расчете</t>
  </si>
  <si>
    <t>Нормы в сутки ясли</t>
  </si>
  <si>
    <t>Количество детей ясли</t>
  </si>
  <si>
    <t>Нормы в сутки сад</t>
  </si>
  <si>
    <t>Количество детей сад</t>
  </si>
  <si>
    <t>Количество дней функционирования</t>
  </si>
  <si>
    <t>Наименование товара</t>
  </si>
  <si>
    <t>№п/п</t>
  </si>
  <si>
    <t>Хлеб пшеничный</t>
  </si>
  <si>
    <t>Хлеб батон</t>
  </si>
  <si>
    <t>Хлеб ржаной</t>
  </si>
  <si>
    <t>Печенье</t>
  </si>
  <si>
    <t>Вафли</t>
  </si>
  <si>
    <t>Повидло</t>
  </si>
  <si>
    <t>Мармелад</t>
  </si>
  <si>
    <t>Зефир</t>
  </si>
  <si>
    <t>Кофейный напиток</t>
  </si>
  <si>
    <t>Какао</t>
  </si>
  <si>
    <t>Кисель</t>
  </si>
  <si>
    <t>Компот сухофрукты</t>
  </si>
  <si>
    <t>Изюм</t>
  </si>
  <si>
    <t>Курага</t>
  </si>
  <si>
    <t>Лавровый лист</t>
  </si>
  <si>
    <t>Апельсины *</t>
  </si>
  <si>
    <t xml:space="preserve">Лимон * </t>
  </si>
  <si>
    <t>Бананы *</t>
  </si>
  <si>
    <t>Груша *</t>
  </si>
  <si>
    <t>Дрожжи</t>
  </si>
  <si>
    <t>Яйцо куриное</t>
  </si>
  <si>
    <t xml:space="preserve">Йогурт * </t>
  </si>
  <si>
    <t>Снежок *</t>
  </si>
  <si>
    <t>Макаронные изделия</t>
  </si>
  <si>
    <t>Крупа гречневая</t>
  </si>
  <si>
    <t>Крупа манная</t>
  </si>
  <si>
    <t>Крупа пшеничная</t>
  </si>
  <si>
    <t>Крупа перловая</t>
  </si>
  <si>
    <t xml:space="preserve">Хлопья овсяные </t>
  </si>
  <si>
    <t xml:space="preserve">Крупа пшено </t>
  </si>
  <si>
    <t>Рис шлифованный</t>
  </si>
  <si>
    <t>Горох шлифованный</t>
  </si>
  <si>
    <t>Мука</t>
  </si>
  <si>
    <t>Соль йодированная</t>
  </si>
  <si>
    <t>Сахар</t>
  </si>
  <si>
    <t>Масло растительное</t>
  </si>
  <si>
    <t>Сельдь соленая *</t>
  </si>
  <si>
    <t>Сметана</t>
  </si>
  <si>
    <t>Рыба минтай</t>
  </si>
  <si>
    <t>Рыба горбуша</t>
  </si>
  <si>
    <t xml:space="preserve"> итого</t>
  </si>
  <si>
    <t xml:space="preserve">* планируемое количество детей </t>
  </si>
  <si>
    <t>Анализ норм по питанию</t>
  </si>
  <si>
    <t>% очистки</t>
  </si>
  <si>
    <t xml:space="preserve"> Итого количество с % очистки</t>
  </si>
  <si>
    <t>Капуста</t>
  </si>
  <si>
    <t>Лук</t>
  </si>
  <si>
    <t>Морковь</t>
  </si>
  <si>
    <t>Свекла</t>
  </si>
  <si>
    <t>Икра кабачковая</t>
  </si>
  <si>
    <t>Томатная паста</t>
  </si>
  <si>
    <t>Огурец консервированный</t>
  </si>
  <si>
    <t>Горошек зеленый</t>
  </si>
  <si>
    <t>Картофель</t>
  </si>
  <si>
    <t xml:space="preserve">Чай </t>
  </si>
  <si>
    <t>* ранее согласованна сделка на рыбу горбушу в норме сад 0,018 гр ясли 0,015гр.</t>
  </si>
  <si>
    <t>* ранее согласованна сделка на рыбу минтай в норме сад 0,016 гр ясли 0,015гр.</t>
  </si>
  <si>
    <t xml:space="preserve"> </t>
  </si>
  <si>
    <t>* ранее согласованна сделка на яблоко в норме сад 0.030 гр  ясли 0,030 гр</t>
  </si>
  <si>
    <t>Ряженка</t>
  </si>
  <si>
    <t>* ранее согласованна сделка на  молоко,молоко сгущеное   в норме сад 0,300 гр. Ясли 0,240 гр</t>
  </si>
  <si>
    <t>Нормы в кг сад</t>
  </si>
  <si>
    <t>Тара</t>
  </si>
  <si>
    <t xml:space="preserve">Норма в банках </t>
  </si>
  <si>
    <t>Норма в кг.</t>
  </si>
  <si>
    <t>Итого при расчете сад</t>
  </si>
  <si>
    <t>Нормы в кг ясли</t>
  </si>
  <si>
    <t>Итого при расчете ясли</t>
  </si>
  <si>
    <t>Количество дней функционирования по таре САД</t>
  </si>
  <si>
    <t>Количество дней функционирования по таре ЯСЛИ</t>
  </si>
  <si>
    <t xml:space="preserve">Хлеб пшеничный </t>
  </si>
  <si>
    <t>Батон</t>
  </si>
  <si>
    <t>Пряник</t>
  </si>
  <si>
    <t>Карамель</t>
  </si>
  <si>
    <t xml:space="preserve">ТР ТС 021/2011 </t>
  </si>
  <si>
    <t xml:space="preserve">Мука пшеничная </t>
  </si>
  <si>
    <t>Пшено очищенное</t>
  </si>
  <si>
    <t>Рис</t>
  </si>
  <si>
    <t>Томат-пюре (паста)</t>
  </si>
  <si>
    <t>Груша</t>
  </si>
  <si>
    <t>Апельсины</t>
  </si>
  <si>
    <t>Лимоны</t>
  </si>
  <si>
    <t>Бананы</t>
  </si>
  <si>
    <t>Сельдь соленая</t>
  </si>
  <si>
    <t xml:space="preserve">Йогурт </t>
  </si>
  <si>
    <t>Снежок</t>
  </si>
  <si>
    <t>Сахар-песок</t>
  </si>
  <si>
    <t>Чай</t>
  </si>
  <si>
    <t>Какао-порошок</t>
  </si>
  <si>
    <t xml:space="preserve">Картофель </t>
  </si>
  <si>
    <t xml:space="preserve">Морковь </t>
  </si>
  <si>
    <t xml:space="preserve">Функциональные, технические и качественные характеристики Товара </t>
  </si>
  <si>
    <t>Единица измерения</t>
  </si>
  <si>
    <t>Остаточный срок годности</t>
  </si>
  <si>
    <t>не менее 80%от установленного срока годности на момент поставки</t>
  </si>
  <si>
    <t>кг</t>
  </si>
  <si>
    <t>Кол-во детей сад</t>
  </si>
  <si>
    <t>Кол-во детей ясли</t>
  </si>
  <si>
    <t>Продукт</t>
  </si>
  <si>
    <t>Норма сад</t>
  </si>
  <si>
    <t>норма ясли</t>
  </si>
  <si>
    <t>Цена</t>
  </si>
  <si>
    <t>сад</t>
  </si>
  <si>
    <t xml:space="preserve">ДОЛЖНО </t>
  </si>
  <si>
    <t>РАЗНИЦА</t>
  </si>
  <si>
    <t>Овощи</t>
  </si>
  <si>
    <t xml:space="preserve">не более 10%консервации </t>
  </si>
  <si>
    <t>картофель</t>
  </si>
  <si>
    <t>хлеб(пшен.и батон)</t>
  </si>
  <si>
    <t>кондитерка</t>
  </si>
  <si>
    <t>чай</t>
  </si>
  <si>
    <t>фрукты сухие</t>
  </si>
  <si>
    <t>фрукты свежие</t>
  </si>
  <si>
    <t>яблоко</t>
  </si>
  <si>
    <t>дрожжи</t>
  </si>
  <si>
    <t>яйцо</t>
  </si>
  <si>
    <t>молочка</t>
  </si>
  <si>
    <t>сгущенка</t>
  </si>
  <si>
    <t>молоко</t>
  </si>
  <si>
    <t>сметана</t>
  </si>
  <si>
    <t>макароны</t>
  </si>
  <si>
    <t>Крупы</t>
  </si>
  <si>
    <t>мука</t>
  </si>
  <si>
    <t>соль</t>
  </si>
  <si>
    <t>сахар</t>
  </si>
  <si>
    <t>масло растительное</t>
  </si>
  <si>
    <t>ясли</t>
  </si>
  <si>
    <t>рыба горбуша</t>
  </si>
  <si>
    <t>рыба минтай</t>
  </si>
  <si>
    <t>ПРОВЕРКА НОРМ</t>
  </si>
  <si>
    <t>ПРОВЕРКА ДНЕЙ</t>
  </si>
  <si>
    <t>разница</t>
  </si>
  <si>
    <t>Кол-во дней</t>
  </si>
  <si>
    <t>Мясо птицы</t>
  </si>
  <si>
    <t>мясо -говядины</t>
  </si>
  <si>
    <t>Печень говяжья</t>
  </si>
  <si>
    <t>Масло сливочное</t>
  </si>
  <si>
    <t>Молоко сгущенное с сахаром</t>
  </si>
  <si>
    <t>Сыр</t>
  </si>
  <si>
    <t>Творог</t>
  </si>
  <si>
    <t>Молоко</t>
  </si>
  <si>
    <t>Яблоко</t>
  </si>
  <si>
    <t>Сок</t>
  </si>
  <si>
    <t>рыба</t>
  </si>
  <si>
    <t>ГОСТ  31713-2012 соленые огурцы,приготовленные из свежих огурцов с прибавлением к ним приправ и пряностей, залитых раствором поваренной соли и подвергнутых молочно-кислому брожению, упаковка- банка - стекло, масса нетто 3000г (3кг)</t>
  </si>
  <si>
    <t>ГОСТ 31654-2012, пищевое 1 категория,  маркированное, тара-картонная, жесткая с ячейками.</t>
  </si>
  <si>
    <t>ТР ТС 021/2011 весовые, плоды свежие,чистые,без механических повреждений, без повреждений вредителями и болезнями,  запах свойственен свежим лимонам, окраска от светло-зеленой до желтой.</t>
  </si>
  <si>
    <t>Горох очищенный</t>
  </si>
  <si>
    <t>Огурцы (консервированные)</t>
  </si>
  <si>
    <t>Фрукты сухие</t>
  </si>
  <si>
    <t>Зеленый горошек</t>
  </si>
  <si>
    <t>Наименование учреждения</t>
  </si>
  <si>
    <t>Период</t>
  </si>
  <si>
    <t>ФИО Заведующей</t>
  </si>
  <si>
    <t>МДОУ "Детский сад  № 138"</t>
  </si>
  <si>
    <t>Исполнитель</t>
  </si>
  <si>
    <t>Телефон</t>
  </si>
  <si>
    <t>41-13-85</t>
  </si>
  <si>
    <t xml:space="preserve">Заведующая  </t>
  </si>
  <si>
    <t>Уварова О.П.</t>
  </si>
  <si>
    <t xml:space="preserve">Исп.: </t>
  </si>
  <si>
    <t>тел.:</t>
  </si>
  <si>
    <t>Поставщик</t>
  </si>
  <si>
    <t>Из смеси ржаной и пшеничной муки 1 сорта, упакованный в пакеты из полимерных материалов, масса нетто 680 гр.ГОСТ 2077-84</t>
  </si>
  <si>
    <t>СТО 70315343-008-2014 Батон столовый  из пшеничной муки высшего сорта.Форма продолговато-овальная, без притисков, не расплывчатая. Поверхность с косыми надрезами. Цвет: от светло-желтого до коричневого. Мякиш пропеченный, не липкий, не влажный на ощупь, эластичный. После легкого надавливания пальцами мякиш должен принимать первоначальную форму. Вкус и запах свойственный данному виду хлеба. Масса нетто 0,3 кг, фасованный в пакеты из полимерных материалов или др.индивидуальная упаковка согласно ГОСТ 31752-2012</t>
  </si>
  <si>
    <t>ГОСТ 24901-2014,  сахарное, неглазированное, без добавлений, без начинки, форма плоская, без вмятин, вздутий и повреждений края.</t>
  </si>
  <si>
    <t>ГОСТ 14031-2014, прямоугольные, плоской формы, с жировой начинкой, неглазированные, с отделкой поверхности.</t>
  </si>
  <si>
    <t xml:space="preserve">ТР ТС   021/2011  </t>
  </si>
  <si>
    <t>ГОСТ 32099-2013 Плодово – ягодное,  стерилизованное, упаковка - ведерко, масса нетто не менее 650 г. (0,65 кг)</t>
  </si>
  <si>
    <t>ГОСТ 31743-2017, группа В, высший сорт,весовые. Упаковка производителя.</t>
  </si>
  <si>
    <t>ГОСТ Р 55290-2012, ГОСТ 5550-2021 ядрица, 1 сорт, выработанная из пропаренного зерна, путем отделения ядра от плодовых оболочек.Упаковка производителя</t>
  </si>
  <si>
    <t>ГОСТ 5784-60, ядро освобожденное от цветковых пленок, хорошо отшлифованное.Упаковка произ-водителя</t>
  </si>
  <si>
    <t xml:space="preserve">Крупа овсяная </t>
  </si>
  <si>
    <t>ГОСТ 21149-93, ГОСТ 21149-2022 "Геркулес" недробленная, продукт полученный из овса, прошедшего пропаривание, шелушение и шлифование. Упаковка производителя</t>
  </si>
  <si>
    <t>ГОСТ 572-2016, 1 сорт, шлифованное, весовое. Упаковка производителя.</t>
  </si>
  <si>
    <t>ГОСТ 6292-93, шлифованный первый сорт, цвет белый с различными оттенками, без посторонних вкусов и запахов, круглозернистый, весовой.Упаковка производителя.</t>
  </si>
  <si>
    <t>ГОСТ 6201-68, 6201-2020 колтый,шлифованный  1 сорт,  цвет желтый. Упаковка производителя</t>
  </si>
  <si>
    <t>ГОСТ 3343-2017, упаковка - банка стекло массой нетто 700-1000 грамм</t>
  </si>
  <si>
    <t>ТР ТС 021/2011 Смесь сушеных фруктов обработанных. Внешний вид и консистенция: целые плоды или кружки. Плоды должны быть эластичными, не ломкими, не слипаться при сжатии.</t>
  </si>
  <si>
    <t>ТР ТС 021/2011  Внешний вид: масса ягод сушеного винограда одного вида, сыпучая, без комкования. Упаковка производителя.</t>
  </si>
  <si>
    <t>ТР ТС 021/2011 Внешний вид - плоды чистые, здоровые, без из-лишней внешней влажности, без повреждений вредителями и бо-лезнями, с плодоножкой, целой или сломанной, или без нее, без постороннего привкуса и запаха. Однородные по степени зрелости</t>
  </si>
  <si>
    <t xml:space="preserve">Яйцо столовое </t>
  </si>
  <si>
    <t>ТР ТС 021/2011, масса нетто 10-20 г. Упаковка производителя</t>
  </si>
  <si>
    <t>Плодово-ягодный, сухой. Консистенция: вязкая, однородная, без комочков. Фасовка от 0,15 до 0,25 кг. ТР ТС 021/2011, ТР ТС 022/2011, ТР ТС 029/2012</t>
  </si>
  <si>
    <t>Напиток злаковый без кофеина</t>
  </si>
  <si>
    <t>ТР ТС 021/2011, растворимый,  без кофеина, масса нетто не менее 100 г (0,1кг). Упаковка произво-дителя.</t>
  </si>
  <si>
    <t>ГОСТ 108-2014, кондитерское изделие из тонко измельченного, частично обезжиренного тертого какао, масса нетто 100 г. Упаковка производителя</t>
  </si>
  <si>
    <t>ГОСТ 2654-2017 Внешний вид и консистенция: однородная, равномерно измельченная масса с видимыми включениями зелени и пряностей, без грубых семян перезрелых овощей. Консистенция мажущаяся или слегка зернистая. Цвет однородный по всей массе. Масса нетто не более 650г.</t>
  </si>
  <si>
    <t>Лук репчатый</t>
  </si>
  <si>
    <t>Мясо говядина</t>
  </si>
  <si>
    <t>Печень</t>
  </si>
  <si>
    <t xml:space="preserve">Творог </t>
  </si>
  <si>
    <t xml:space="preserve">ГОСТ 31453-2013. Выработан из нормализированного молока. Массовая доля жира 9%. Цвет белый или с кремовым оттенком, равномерный по всей массе. Консистенция мягкая, мажущая или рассыпчатая. Упаковка производителя. </t>
  </si>
  <si>
    <t xml:space="preserve">Молоко </t>
  </si>
  <si>
    <t xml:space="preserve">ГОСТ 32103-2013 , востановленный осветленный, изготовленный из концентрированных фруктовых соков в ассортименте, ассептическая картонная упаковка, 1 литр. </t>
  </si>
  <si>
    <t>ГОСТ 33222-2015, сыпучий, белый, сладкий, без посторонних привкуса и запаха, весовой,фасованный в полипропиленовые мешки. Упаковка производителя</t>
  </si>
  <si>
    <t>ГОСТ 1129-2013. подсолнечное, рафинированное, дезодорированное, первый сорт, в пластиковых бутылках  не более 1 литра, масса нетто 920 грамм (0,92 кг)</t>
  </si>
  <si>
    <t>Ф.Б.Сатукова</t>
  </si>
  <si>
    <t>Е.Н. Прозорова</t>
  </si>
  <si>
    <t>СТО 70315343-007-2014 Хлеб пшеничный из муки 1 сорта. Форма и поверхность : соответствующие виду хлеба, без крупных трещин и подрывов. Цвет: от светло-желтого до темно-коричневого; мякиш пропеченный, не липкий, не влажный на ощупь, эластичный. После легкого надавливания пальцами мякиш должен принимать первоночальную форму. Вкус и запах свойственный данному виду хлеба, без постороннего привкуса. Масса нетто 0,550 кг. Расфасованный в пакеты из полимерных материалов или др.индивидуальная упаковка согласно  ГОСТ 31752-2012.</t>
  </si>
  <si>
    <t>ГОСТ 26574-2017 высший сорт, весовая, хлебопекарная, тара - мешок — ПВХ. Упаковка производителя.</t>
  </si>
  <si>
    <t>ТУ 9294-008-54844059-02,  Крупа пшеничная,мелкодробленная  получаемая при переработке пшеницы твердых, мягких сортов. Цвет желтый. Вкус и запах свойственные пшеничной кру-пе.Упаковка производителя.</t>
  </si>
  <si>
    <t>Масло подсолнечное</t>
  </si>
  <si>
    <t>ТУ 9222-001-00419785-14. выработанный из цельного и обезжиренного коровьего молока Массовая доля жира  – 2,5%. Без компонентов. С использованием вкусоароматических пищевых доба-вок. Внешний вид и консистенция  – однородная, в меру вязкая. При использовании вкусоароматических пищевых добавок – с наличием их включений. Вкус и запах  – кисломолочный, без посторонних привкусов и запахов, с соответствующим вкусом и ароматом внесенного ингредиента. Цвет– молочно-белый, равномерный по всей массе, обусловленный цветом внесенного ингредиента. Упаковка производителя, масса нетто не менее 900г.</t>
  </si>
  <si>
    <t>ГОСТ 31452-2012 . Массовая доля  15%. Выработана из  нормализованных сливок; однородная густая масса с глянцевой поверхностью, густая, слегка вязкая консистенция. Вкус и запах чистые, кисломолочные, без посторонних привкусов и запахов. Цвет белый с кремовым оттенком, должен быть равномерный по всей массе. Упаковка производителя, масса нетто не менее 180г</t>
  </si>
  <si>
    <t>ГОСТ 51574-2018, каменная, 1 сорт, выварочная с добавкой йода. Масса нетто 1000г (1 кг)</t>
  </si>
  <si>
    <t>ТР ТС 021/2011, сухие, хлебопекарные,быстрорастворимые, упаковка фольга, масса нетто 100 г.</t>
  </si>
  <si>
    <t>Гост 34112-2017 Внешний вид – зерна должны быть целые без примеси оболочек зерен и кормового гороха коричневого цвета.   Цвет зерен горошка – зеленый , светло-зеленый или оливковый. Вкус и запах – натуральный свойственный консервированному зеленому горошку. Консистенция должна быть мягкая однородная. Упаковка –  металлическая банка, масса-нетто- 0,310-0,420 гр.</t>
  </si>
  <si>
    <t>Коровье, пастеризованное, МДЖ 2,5 % из нормализованного по массовой доле жира молока. Консистенция: жидкая, однородная нетягучая, слегка вязкая. Без хлопьев белка и сбившихся комочков жира. Внешний вид: непрозрачная жидкость. Для жирных и высокожирных продуктов допускается незначительный отстой жира.  Полиэтиленовая упаковка не менее 0,9 литра.
 ГОСТ 31450-2013</t>
  </si>
  <si>
    <t>ТР ТС 021/2011 свежие, 1 сорт. Площадь окрашенной поверхно-сти красной окраски 1/2. Плоды здоровые, свежие, целые, чистые.  Запах и вкус свойственные данному сорту, без постороннего запаха и/или привкуса. Плоды должны быть съемной степени зрелости. Мякоть должна быть доброкачественная. Не допускается: наличие гнилых яблок,  испорченных, перезрелых.</t>
  </si>
  <si>
    <t xml:space="preserve">ГОСТ 15810-2014 пряники из муки первого сорта, весовые, без начинки, глазированные в ассортименте. Форма,поверхность,цвет, вкус и запах: будут свойственными данному наименованию изделия с учетом вкусовых добавок, не будут иметь  посторонних запхов и привкуса. Вид в изломе-пропеченное изделие без следов непромеса,с равномерной пористостью. </t>
  </si>
  <si>
    <t>ГОСТ 6441-2014 Консистенция мягкая, легко поддающаяся разламыванию. Структура свойственная данному наименованию изделия, равномерная, мелкопористая. Поверхность свойственная данному наименованию изделия, без грубого затвердевания на боковых гранях и выделения сиропа. Упаковка картон</t>
  </si>
  <si>
    <t>ГОСТ 7022-2019,  марка М, непрозрачная мучнистая крупка, без посторонних запахов, привкусов, весовая.Упаковка производителя</t>
  </si>
  <si>
    <t>ТР ТС 021/2011 весовые, плоды свежие, чистые, без механических повреждений, без повреждений вредителями и болезнями, запах свойственным свежим апельсинам, окраска от светло-оранжевой до оранжевой.</t>
  </si>
  <si>
    <t>ТР ТС 021/2011   весовые. Плоды должны быть  твердые, свежие, чистые, здоровые, Вкус и запах: специфический запах спелых бананов, вкус должен быть сладкий, без посторонних привкусов и ароматов.</t>
  </si>
  <si>
    <t xml:space="preserve">ГОСТ 31688-2012. Вкус и запах сгущенного молока-сладкий, чистый с выраженным вкусом и запахом пастеризованного молока, без посторонних привкусов и запахов. Внешний вид и констинстенция-однородная, вязкая по всей массе. Упаковка металлическая банка. Масса нетто -380 г. </t>
  </si>
  <si>
    <t>Количество в единицах измерения</t>
  </si>
  <si>
    <t>Молоко цельное сгущенное с сахаром</t>
  </si>
  <si>
    <t>ТУ 9222-388-00419785-05 , массовая доля жира (далее МДЖ) 2,5%, кисломолочный напиток, вырабатываемый из цельного гомогенизированного молока с добавлением сахара. Упаковка производителя, масса нетто не менее 450г.</t>
  </si>
  <si>
    <t>ГОСТ 31455-2012 .Изготовленная из нормализованного коровьего молока, подвергнутого топлению перед сквашиванием и предназначенного для непосредственного  использования в пищу. Вкус и запах должны быть чистые, кис-ломолочные, с выраженным при-вкусом пастеризации, без посто-ронних запахов и привкусов, цвет должен быть светло – кремовый, равномерный по всей массе, кон-систенция должна быть однород-ная.  Массовая доля жира – 2,5%. Упаковка производителя, масса нетто не менее 450 г.</t>
  </si>
  <si>
    <t>ГОСТ 32573-2013  черный, масса нетто не менее 100 г.</t>
  </si>
  <si>
    <t>ГОСТ 7176-2017 свежий, стандартный продовольственный, ранний и поздний. Картофель ранний - собранный до окончания срока его созревания, поступающий в продажу сразу после сбора до 1 сентября. картофель поздний: Картофель, собранный после окончания срока его созревания, поступающий в продажу с 1 сентября. Для раннего картофеля и для позднего клубни должны быть целые, чистые, здоровые, свежие, зрелые, полностью покрытые плотной кожурой, без излишней внешней влажности, не позеленевшие. Запах и вкус, свойственный данному ботаническому сорту, без постороннего запаха и (или) привкуса.</t>
  </si>
  <si>
    <t>Капуста свежая, белокочанная. Первый класс. Кочаны свежие, целые, здоровые, чистые, вполне сформировавшиеся , без повреждений. Кочаны плотные, зачищены до плотно облегающих зеленых или белых листьев. ГОСТ 1724-85, ГОСТ Р 51809-2001.</t>
  </si>
  <si>
    <t>ГОСТ 34306-2017 Свежий. Весовой. Первый класс. Луковицы вызревшие, здоровые, чистые, целые, не проросшие, без повреждений сельскохозяйственными вредителями. Допускаются луковицы с разрывами наружных сухих чешуй. Запах и вкус должны быть свойственные данному ботаническому сорту, без постороннего запаха и привкуса.</t>
  </si>
  <si>
    <t>ГОСТ 32284-2013 Морковь столовая свежая. Первый класс. Корнеплоды свежие, целые, здоровые, чистые, не увядшие, не треснувшие, без признаков прорастания, без повреждения сельскохозяйственными вредителями. Запах и вкус свойственный данному ботаническому сорту</t>
  </si>
  <si>
    <t>ГОСТ 32285-2013. Первый класс, свежая. Корнеплоды свежие, целые, здоровые, чистые, не увядшие, не трес-нувшие, без признаков прорастания, без повреждений сельскохозяйственными вредителями .</t>
  </si>
  <si>
    <t>1 категория, тушка цыпленка-бройлера, потрошеная, охлаждённая. Мышцы тушки хорошо развиты, форма груди округлая, киль грудной кости не выделяется. ГОСТ 31962-2013</t>
  </si>
  <si>
    <t>ГОСТ 32261-2013. Крестьянское,  сладко-сливочное, несоленое, высший сорт.С выраженным сливочным вкусом и  привкусом пастеризации. Цвет от светло-желтого- однородного по всей массе. Массовая доля жира  72,5%. Вкус и запах выраженный сливочный с привкусом пастеризации. Масса нетто не более 0,200  кг.</t>
  </si>
  <si>
    <t xml:space="preserve">ГОСТ 32260-2013 полутвердый Российский. МЖД 50%. Цвет от белого до светло желтого, равномерный по всей массе. Констинстенция эластичная и однородная по всей массе. </t>
  </si>
  <si>
    <t xml:space="preserve">Свежемороженая, потрошенная, обезглавленная, 1сорт. Внешний вид (после размораживания): поверхность чистая, естественной окраски присущей рыбе данного вида. Консистенция (после размораживания): мягкая присущая рыбе данного вида. Запах присущий свежей рыбе без посторонних признаков. ГОСТ 32366-2013
</t>
  </si>
  <si>
    <t xml:space="preserve">ГОСТ 32366-2013, свежемороженая, потрошенная,обезглавленная 1сорт. Внешний вид (после размораживания): поверхность чистая, естественной окраски присущей рыбе данного вида. </t>
  </si>
  <si>
    <t>ИТОГО</t>
  </si>
  <si>
    <t>в т.ч. НДС 10%</t>
  </si>
  <si>
    <t xml:space="preserve"> с 09.01.2025 по 30.06.2025</t>
  </si>
  <si>
    <t>Л.В.Жорина</t>
  </si>
  <si>
    <t>Приложение №1 к Контракту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</si>
</sst>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0.0000"/>
    <numFmt numFmtId="167" formatCode="_-* #,##0.000\ _₽_-;\-* #,##0.000\ _₽_-;_-* &quot;-&quot;???\ _₽_-;_-@_-"/>
    <numFmt numFmtId="168" formatCode="#,##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</cellStyleXfs>
  <cellXfs count="158">
    <xf numFmtId="0" fontId="0" fillId="0" borderId="0" xfId="0"/>
    <xf numFmtId="0" fontId="0" fillId="0" borderId="0" xfId="0" applyFont="1" applyFill="1"/>
    <xf numFmtId="0" fontId="9" fillId="0" borderId="0" xfId="3" applyNumberFormat="1" applyFont="1" applyFill="1" applyBorder="1" applyAlignment="1" applyProtection="1">
      <alignment vertical="top"/>
    </xf>
    <xf numFmtId="0" fontId="0" fillId="0" borderId="0" xfId="0" applyFill="1"/>
    <xf numFmtId="0" fontId="2" fillId="0" borderId="0" xfId="3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13" fillId="0" borderId="0" xfId="0" applyFont="1" applyFill="1"/>
    <xf numFmtId="0" fontId="0" fillId="0" borderId="0" xfId="0" applyFill="1" applyAlignment="1">
      <alignment horizontal="left"/>
    </xf>
    <xf numFmtId="0" fontId="12" fillId="0" borderId="0" xfId="0" applyFont="1" applyFill="1"/>
    <xf numFmtId="0" fontId="12" fillId="0" borderId="1" xfId="0" applyFont="1" applyFill="1" applyBorder="1"/>
    <xf numFmtId="0" fontId="20" fillId="0" borderId="0" xfId="3" applyNumberFormat="1" applyFont="1" applyFill="1" applyBorder="1" applyAlignment="1" applyProtection="1">
      <alignment vertical="top"/>
    </xf>
    <xf numFmtId="0" fontId="1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31" fillId="4" borderId="1" xfId="0" applyFont="1" applyFill="1" applyBorder="1" applyAlignment="1">
      <alignment wrapText="1"/>
    </xf>
    <xf numFmtId="0" fontId="0" fillId="0" borderId="1" xfId="0" applyBorder="1"/>
    <xf numFmtId="0" fontId="31" fillId="0" borderId="1" xfId="0" applyFont="1" applyBorder="1"/>
    <xf numFmtId="0" fontId="26" fillId="5" borderId="1" xfId="3" applyNumberFormat="1" applyFont="1" applyFill="1" applyBorder="1" applyAlignment="1" applyProtection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31" fillId="0" borderId="6" xfId="0" applyFont="1" applyFill="1" applyBorder="1"/>
    <xf numFmtId="0" fontId="26" fillId="6" borderId="1" xfId="3" applyNumberFormat="1" applyFont="1" applyFill="1" applyBorder="1" applyAlignment="1" applyProtection="1">
      <alignment horizontal="left" vertical="center" wrapText="1"/>
    </xf>
    <xf numFmtId="0" fontId="14" fillId="6" borderId="1" xfId="3" applyNumberFormat="1" applyFont="1" applyFill="1" applyBorder="1" applyAlignment="1" applyProtection="1">
      <alignment horizontal="center" vertical="center"/>
    </xf>
    <xf numFmtId="0" fontId="23" fillId="6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43" fontId="12" fillId="0" borderId="0" xfId="0" applyNumberFormat="1" applyFont="1" applyFill="1"/>
    <xf numFmtId="167" fontId="12" fillId="0" borderId="0" xfId="0" applyNumberFormat="1" applyFont="1" applyFill="1"/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6" xfId="0" applyFill="1" applyBorder="1"/>
    <xf numFmtId="165" fontId="0" fillId="0" borderId="1" xfId="0" applyNumberFormat="1" applyBorder="1"/>
    <xf numFmtId="166" fontId="0" fillId="0" borderId="1" xfId="0" applyNumberFormat="1" applyBorder="1"/>
    <xf numFmtId="0" fontId="0" fillId="8" borderId="1" xfId="0" applyFill="1" applyBorder="1"/>
    <xf numFmtId="0" fontId="0" fillId="8" borderId="6" xfId="0" applyFill="1" applyBorder="1"/>
    <xf numFmtId="0" fontId="0" fillId="0" borderId="0" xfId="0" applyAlignment="1">
      <alignment wrapText="1"/>
    </xf>
    <xf numFmtId="1" fontId="0" fillId="8" borderId="1" xfId="0" applyNumberFormat="1" applyFill="1" applyBorder="1"/>
    <xf numFmtId="168" fontId="0" fillId="0" borderId="1" xfId="0" applyNumberFormat="1" applyBorder="1"/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14" fillId="5" borderId="1" xfId="3" applyNumberFormat="1" applyFont="1" applyFill="1" applyBorder="1" applyAlignment="1" applyProtection="1">
      <alignment horizontal="center" vertical="center"/>
      <protection locked="0"/>
    </xf>
    <xf numFmtId="0" fontId="15" fillId="5" borderId="1" xfId="3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center"/>
    </xf>
    <xf numFmtId="165" fontId="12" fillId="5" borderId="2" xfId="0" applyNumberFormat="1" applyFont="1" applyFill="1" applyBorder="1" applyAlignment="1">
      <alignment horizontal="center"/>
    </xf>
    <xf numFmtId="166" fontId="12" fillId="5" borderId="2" xfId="0" applyNumberFormat="1" applyFont="1" applyFill="1" applyBorder="1" applyAlignment="1">
      <alignment horizontal="center"/>
    </xf>
    <xf numFmtId="0" fontId="15" fillId="5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" xfId="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1" xfId="3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3" fillId="9" borderId="1" xfId="9" applyFont="1" applyFill="1" applyBorder="1" applyAlignment="1">
      <alignment horizontal="center" vertical="center" wrapText="1"/>
    </xf>
    <xf numFmtId="0" fontId="24" fillId="10" borderId="1" xfId="9" applyFont="1" applyFill="1" applyBorder="1" applyAlignment="1">
      <alignment horizontal="center" vertical="top" wrapText="1"/>
    </xf>
    <xf numFmtId="0" fontId="26" fillId="6" borderId="1" xfId="3" applyNumberFormat="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3" borderId="1" xfId="9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3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31" fillId="4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6" fillId="9" borderId="1" xfId="3" applyNumberFormat="1" applyFont="1" applyFill="1" applyBorder="1" applyAlignment="1" applyProtection="1">
      <alignment horizontal="center" vertical="center" wrapText="1"/>
    </xf>
    <xf numFmtId="0" fontId="29" fillId="9" borderId="1" xfId="0" applyFont="1" applyFill="1" applyBorder="1" applyAlignment="1">
      <alignment horizontal="left" vertical="top" wrapText="1"/>
    </xf>
    <xf numFmtId="0" fontId="0" fillId="9" borderId="0" xfId="0" applyFill="1"/>
    <xf numFmtId="0" fontId="34" fillId="10" borderId="1" xfId="2" applyFont="1" applyFill="1" applyBorder="1" applyAlignment="1">
      <alignment horizontal="left" vertical="top" wrapText="1"/>
    </xf>
    <xf numFmtId="0" fontId="35" fillId="9" borderId="1" xfId="9" applyFont="1" applyFill="1" applyBorder="1" applyAlignment="1">
      <alignment vertical="top" wrapText="1"/>
    </xf>
    <xf numFmtId="0" fontId="23" fillId="9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3" fillId="9" borderId="5" xfId="9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left" vertical="top" wrapText="1"/>
    </xf>
    <xf numFmtId="0" fontId="36" fillId="9" borderId="1" xfId="0" applyFont="1" applyFill="1" applyBorder="1" applyAlignment="1">
      <alignment horizontal="left" vertical="top" wrapText="1"/>
    </xf>
    <xf numFmtId="0" fontId="34" fillId="10" borderId="1" xfId="9" applyFont="1" applyFill="1" applyBorder="1" applyAlignment="1">
      <alignment horizontal="left" vertical="top" wrapText="1"/>
    </xf>
    <xf numFmtId="0" fontId="29" fillId="9" borderId="1" xfId="0" applyFont="1" applyFill="1" applyBorder="1" applyAlignment="1">
      <alignment horizontal="center" vertical="center" wrapText="1"/>
    </xf>
    <xf numFmtId="0" fontId="37" fillId="10" borderId="1" xfId="2" applyFont="1" applyFill="1" applyBorder="1" applyAlignment="1">
      <alignment horizontal="center" vertical="center" wrapText="1"/>
    </xf>
    <xf numFmtId="0" fontId="34" fillId="10" borderId="1" xfId="9" applyFont="1" applyFill="1" applyBorder="1" applyAlignment="1">
      <alignment wrapText="1"/>
    </xf>
    <xf numFmtId="0" fontId="37" fillId="9" borderId="1" xfId="2" applyFont="1" applyFill="1" applyBorder="1" applyAlignment="1">
      <alignment horizontal="center" vertical="center" wrapText="1"/>
    </xf>
    <xf numFmtId="0" fontId="38" fillId="9" borderId="0" xfId="0" applyFont="1" applyFill="1" applyAlignment="1">
      <alignment vertical="center" wrapText="1"/>
    </xf>
    <xf numFmtId="0" fontId="39" fillId="9" borderId="7" xfId="0" applyFont="1" applyFill="1" applyBorder="1" applyAlignment="1">
      <alignment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/>
    <xf numFmtId="0" fontId="12" fillId="9" borderId="0" xfId="0" applyFont="1" applyFill="1"/>
    <xf numFmtId="0" fontId="20" fillId="9" borderId="0" xfId="3" applyNumberFormat="1" applyFont="1" applyFill="1" applyBorder="1" applyAlignment="1" applyProtection="1">
      <alignment vertical="top"/>
    </xf>
    <xf numFmtId="0" fontId="9" fillId="9" borderId="0" xfId="3" applyNumberFormat="1" applyFont="1" applyFill="1" applyBorder="1" applyAlignment="1" applyProtection="1">
      <alignment vertical="top"/>
    </xf>
    <xf numFmtId="0" fontId="0" fillId="9" borderId="0" xfId="0" applyFont="1" applyFill="1"/>
    <xf numFmtId="0" fontId="26" fillId="0" borderId="1" xfId="6" applyFont="1" applyFill="1" applyBorder="1" applyAlignment="1">
      <alignment vertical="top" wrapText="1"/>
    </xf>
    <xf numFmtId="0" fontId="28" fillId="9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5" fillId="4" borderId="1" xfId="3" applyNumberFormat="1" applyFont="1" applyFill="1" applyBorder="1" applyAlignment="1" applyProtection="1">
      <alignment horizontal="left" vertical="center"/>
    </xf>
    <xf numFmtId="0" fontId="15" fillId="4" borderId="1" xfId="3" applyNumberFormat="1" applyFont="1" applyFill="1" applyBorder="1" applyAlignment="1" applyProtection="1">
      <alignment horizontal="left" vertical="center" wrapText="1"/>
    </xf>
    <xf numFmtId="167" fontId="15" fillId="4" borderId="1" xfId="3" applyNumberFormat="1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33" fillId="9" borderId="1" xfId="0" applyFont="1" applyFill="1" applyBorder="1" applyAlignment="1" applyProtection="1">
      <alignment horizontal="center" vertical="center" wrapText="1"/>
      <protection locked="0"/>
    </xf>
    <xf numFmtId="0" fontId="16" fillId="9" borderId="1" xfId="0" applyFont="1" applyFill="1" applyBorder="1" applyAlignment="1" applyProtection="1">
      <alignment horizontal="center" vertical="center" wrapText="1"/>
      <protection locked="0"/>
    </xf>
    <xf numFmtId="0" fontId="15" fillId="9" borderId="1" xfId="3" applyNumberFormat="1" applyFont="1" applyFill="1" applyBorder="1" applyAlignment="1" applyProtection="1">
      <alignment horizontal="left" vertical="center" wrapText="1"/>
      <protection locked="0"/>
    </xf>
    <xf numFmtId="0" fontId="12" fillId="9" borderId="1" xfId="0" applyFont="1" applyFill="1" applyBorder="1" applyAlignment="1">
      <alignment horizontal="center"/>
    </xf>
    <xf numFmtId="0" fontId="15" fillId="9" borderId="1" xfId="3" applyNumberFormat="1" applyFont="1" applyFill="1" applyBorder="1" applyAlignment="1" applyProtection="1">
      <alignment horizontal="center" vertical="center"/>
    </xf>
    <xf numFmtId="0" fontId="15" fillId="9" borderId="1" xfId="3" applyNumberFormat="1" applyFont="1" applyFill="1" applyBorder="1" applyAlignment="1" applyProtection="1">
      <alignment horizontal="right" vertical="center"/>
    </xf>
    <xf numFmtId="0" fontId="15" fillId="9" borderId="2" xfId="3" applyNumberFormat="1" applyFont="1" applyFill="1" applyBorder="1" applyAlignment="1" applyProtection="1">
      <alignment horizontal="right" vertical="center"/>
    </xf>
    <xf numFmtId="165" fontId="12" fillId="9" borderId="2" xfId="0" applyNumberFormat="1" applyFont="1" applyFill="1" applyBorder="1"/>
    <xf numFmtId="43" fontId="15" fillId="9" borderId="3" xfId="1" applyNumberFormat="1" applyFont="1" applyFill="1" applyBorder="1" applyAlignment="1" applyProtection="1">
      <alignment horizontal="center" vertical="center" wrapText="1"/>
      <protection locked="0"/>
    </xf>
    <xf numFmtId="167" fontId="15" fillId="9" borderId="3" xfId="1" applyNumberFormat="1" applyFont="1" applyFill="1" applyBorder="1" applyAlignment="1" applyProtection="1">
      <alignment horizontal="center" vertical="center" wrapText="1"/>
      <protection locked="0"/>
    </xf>
    <xf numFmtId="2" fontId="12" fillId="9" borderId="1" xfId="0" applyNumberFormat="1" applyFont="1" applyFill="1" applyBorder="1"/>
    <xf numFmtId="43" fontId="12" fillId="9" borderId="2" xfId="0" applyNumberFormat="1" applyFont="1" applyFill="1" applyBorder="1"/>
    <xf numFmtId="0" fontId="15" fillId="9" borderId="2" xfId="3" applyNumberFormat="1" applyFont="1" applyFill="1" applyBorder="1" applyAlignment="1" applyProtection="1">
      <alignment horizontal="left" vertical="center"/>
      <protection locked="0"/>
    </xf>
    <xf numFmtId="2" fontId="12" fillId="9" borderId="2" xfId="0" applyNumberFormat="1" applyFont="1" applyFill="1" applyBorder="1"/>
    <xf numFmtId="0" fontId="18" fillId="9" borderId="2" xfId="0" applyFont="1" applyFill="1" applyBorder="1" applyAlignment="1" applyProtection="1">
      <alignment horizontal="left" vertical="center" wrapText="1"/>
      <protection locked="0"/>
    </xf>
    <xf numFmtId="43" fontId="12" fillId="9" borderId="1" xfId="0" applyNumberFormat="1" applyFont="1" applyFill="1" applyBorder="1"/>
    <xf numFmtId="0" fontId="21" fillId="9" borderId="0" xfId="3" applyNumberFormat="1" applyFont="1" applyFill="1" applyBorder="1" applyAlignment="1" applyProtection="1">
      <alignment horizontal="right" vertical="top"/>
    </xf>
    <xf numFmtId="0" fontId="15" fillId="9" borderId="0" xfId="3" applyNumberFormat="1" applyFont="1" applyFill="1" applyBorder="1" applyAlignment="1" applyProtection="1">
      <alignment vertical="top"/>
    </xf>
    <xf numFmtId="0" fontId="15" fillId="9" borderId="0" xfId="3" applyNumberFormat="1" applyFont="1" applyFill="1" applyBorder="1" applyAlignment="1" applyProtection="1">
      <alignment horizontal="right" vertical="top"/>
    </xf>
    <xf numFmtId="0" fontId="19" fillId="9" borderId="0" xfId="3" applyNumberFormat="1" applyFont="1" applyFill="1" applyBorder="1" applyAlignment="1" applyProtection="1">
      <alignment vertical="top"/>
    </xf>
    <xf numFmtId="0" fontId="22" fillId="9" borderId="0" xfId="3" applyNumberFormat="1" applyFont="1" applyFill="1" applyBorder="1" applyAlignment="1" applyProtection="1">
      <alignment vertical="top"/>
    </xf>
    <xf numFmtId="0" fontId="13" fillId="9" borderId="0" xfId="0" applyFont="1" applyFill="1"/>
    <xf numFmtId="0" fontId="15" fillId="9" borderId="0" xfId="3" applyNumberFormat="1" applyFont="1" applyFill="1" applyBorder="1" applyAlignment="1" applyProtection="1">
      <alignment horizontal="center" vertical="top"/>
    </xf>
    <xf numFmtId="0" fontId="10" fillId="9" borderId="0" xfId="3" applyNumberFormat="1" applyFont="1" applyFill="1" applyBorder="1" applyAlignment="1" applyProtection="1">
      <alignment vertical="top"/>
    </xf>
    <xf numFmtId="0" fontId="10" fillId="9" borderId="0" xfId="3" applyNumberFormat="1" applyFont="1" applyFill="1" applyBorder="1" applyAlignment="1" applyProtection="1">
      <alignment horizontal="center" vertical="top"/>
    </xf>
    <xf numFmtId="0" fontId="2" fillId="9" borderId="0" xfId="3" applyNumberFormat="1" applyFont="1" applyFill="1" applyBorder="1" applyAlignment="1" applyProtection="1">
      <alignment horizontal="left" vertical="center"/>
    </xf>
    <xf numFmtId="0" fontId="2" fillId="9" borderId="0" xfId="3" applyNumberFormat="1" applyFont="1" applyFill="1" applyBorder="1" applyAlignment="1" applyProtection="1">
      <alignment horizontal="right" vertical="center"/>
    </xf>
    <xf numFmtId="0" fontId="2" fillId="9" borderId="0" xfId="3" applyNumberFormat="1" applyFont="1" applyFill="1" applyBorder="1" applyAlignment="1" applyProtection="1">
      <alignment horizontal="center" vertical="center"/>
    </xf>
    <xf numFmtId="0" fontId="8" fillId="9" borderId="0" xfId="3" applyNumberFormat="1" applyFont="1" applyFill="1" applyBorder="1" applyAlignment="1" applyProtection="1">
      <alignment horizontal="right" vertical="center"/>
    </xf>
    <xf numFmtId="165" fontId="2" fillId="9" borderId="0" xfId="3" applyNumberFormat="1" applyFont="1" applyFill="1" applyBorder="1" applyAlignment="1" applyProtection="1">
      <alignment horizontal="right" vertical="center"/>
    </xf>
    <xf numFmtId="2" fontId="2" fillId="9" borderId="0" xfId="3" applyNumberFormat="1" applyFont="1" applyFill="1" applyBorder="1" applyAlignment="1" applyProtection="1">
      <alignment horizontal="right" vertical="center"/>
    </xf>
    <xf numFmtId="168" fontId="12" fillId="2" borderId="1" xfId="0" applyNumberFormat="1" applyFont="1" applyFill="1" applyBorder="1" applyAlignment="1">
      <alignment horizontal="center"/>
    </xf>
    <xf numFmtId="0" fontId="15" fillId="2" borderId="2" xfId="3" applyNumberFormat="1" applyFont="1" applyFill="1" applyBorder="1" applyAlignment="1" applyProtection="1">
      <alignment horizontal="left" vertical="center"/>
      <protection locked="0"/>
    </xf>
    <xf numFmtId="168" fontId="15" fillId="2" borderId="2" xfId="3" applyNumberFormat="1" applyFont="1" applyFill="1" applyBorder="1" applyAlignment="1" applyProtection="1">
      <alignment horizontal="center" vertical="center"/>
    </xf>
    <xf numFmtId="0" fontId="26" fillId="0" borderId="1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" fontId="30" fillId="9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9" borderId="0" xfId="3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/>
    </xf>
    <xf numFmtId="0" fontId="2" fillId="0" borderId="0" xfId="3" applyNumberFormat="1" applyFont="1" applyFill="1" applyBorder="1" applyAlignment="1" applyProtection="1">
      <alignment horizontal="left" vertical="center"/>
    </xf>
    <xf numFmtId="0" fontId="16" fillId="0" borderId="0" xfId="3" applyNumberFormat="1" applyFont="1" applyFill="1" applyBorder="1" applyAlignment="1" applyProtection="1">
      <alignment horizontal="center" vertical="top" wrapText="1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16" fillId="0" borderId="0" xfId="3" applyNumberFormat="1" applyFont="1" applyFill="1" applyBorder="1" applyAlignment="1" applyProtection="1">
      <alignment horizontal="center" vertical="top"/>
    </xf>
    <xf numFmtId="0" fontId="17" fillId="0" borderId="0" xfId="3" applyNumberFormat="1" applyFont="1" applyFill="1" applyBorder="1" applyAlignment="1" applyProtection="1">
      <alignment horizontal="center" vertical="top" wrapText="1"/>
    </xf>
    <xf numFmtId="0" fontId="27" fillId="0" borderId="4" xfId="9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</cellXfs>
  <cellStyles count="10">
    <cellStyle name="Excel Built-in Normal" xfId="2" xr:uid="{00000000-0005-0000-0000-000000000000}"/>
    <cellStyle name="Excel Built-in Normal 1" xfId="9" xr:uid="{00000000-0005-0000-0000-000001000000}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Финансовый" xfId="1" builtinId="3"/>
    <cellStyle name="Финансовый 2" xfId="7" xr:uid="{00000000-0005-0000-0000-000008000000}"/>
    <cellStyle name="Финансовый 3" xfId="8" xr:uid="{00000000-0005-0000-0000-000009000000}"/>
  </cellStyles>
  <dxfs count="0"/>
  <tableStyles count="0" defaultTableStyle="TableStyleMedium2" defaultPivotStyle="PivotStyleLight16"/>
  <colors>
    <mruColors>
      <color rgb="FF66FF66"/>
      <color rgb="FF66FFFF"/>
      <color rgb="FFCC99FF"/>
      <color rgb="FF00FFCC"/>
      <color rgb="FFFF99FF"/>
      <color rgb="FF33CC33"/>
      <color rgb="FF9933FF"/>
      <color rgb="FF00CC66"/>
      <color rgb="FFFF9966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workbookViewId="0">
      <selection activeCell="B6" sqref="B6:C66"/>
    </sheetView>
  </sheetViews>
  <sheetFormatPr defaultRowHeight="14.5" x14ac:dyDescent="0.35"/>
  <cols>
    <col min="1" max="1" width="14.7265625" customWidth="1"/>
    <col min="2" max="2" width="16.81640625" customWidth="1"/>
    <col min="3" max="3" width="15.453125" customWidth="1"/>
    <col min="4" max="4" width="5.26953125" customWidth="1"/>
    <col min="5" max="5" width="13.1796875" customWidth="1"/>
    <col min="6" max="6" width="14.453125" customWidth="1"/>
    <col min="7" max="7" width="0" hidden="1" customWidth="1"/>
    <col min="8" max="8" width="4.7265625" customWidth="1"/>
    <col min="9" max="9" width="18.81640625" customWidth="1"/>
    <col min="10" max="10" width="13.54296875" customWidth="1"/>
    <col min="11" max="11" width="11.453125" customWidth="1"/>
    <col min="12" max="12" width="15.1796875" customWidth="1"/>
    <col min="13" max="15" width="12.7265625" customWidth="1"/>
    <col min="16" max="19" width="9.1796875" hidden="1" customWidth="1"/>
    <col min="20" max="20" width="5" hidden="1" customWidth="1"/>
    <col min="21" max="21" width="15" customWidth="1"/>
    <col min="26" max="26" width="30.54296875" style="51" customWidth="1"/>
    <col min="27" max="28" width="25.26953125" style="51" customWidth="1"/>
  </cols>
  <sheetData>
    <row r="1" spans="1:28" ht="29" x14ac:dyDescent="0.35">
      <c r="A1" s="17" t="s">
        <v>106</v>
      </c>
      <c r="B1" s="17" t="s">
        <v>107</v>
      </c>
      <c r="C1" s="17" t="s">
        <v>142</v>
      </c>
      <c r="Z1" s="65" t="s">
        <v>161</v>
      </c>
      <c r="AA1" s="65" t="s">
        <v>162</v>
      </c>
      <c r="AB1" s="65" t="s">
        <v>163</v>
      </c>
    </row>
    <row r="2" spans="1:28" x14ac:dyDescent="0.35">
      <c r="A2" s="18">
        <v>50</v>
      </c>
      <c r="B2" s="18">
        <v>10</v>
      </c>
      <c r="C2" s="18">
        <v>116</v>
      </c>
      <c r="Z2" s="66" t="s">
        <v>164</v>
      </c>
      <c r="AA2" s="50" t="s">
        <v>243</v>
      </c>
      <c r="AB2" s="50" t="s">
        <v>244</v>
      </c>
    </row>
    <row r="4" spans="1:28" ht="15.5" x14ac:dyDescent="0.35">
      <c r="I4" s="139" t="s">
        <v>139</v>
      </c>
      <c r="J4" s="139"/>
      <c r="K4" s="139"/>
      <c r="L4" s="139"/>
      <c r="M4" s="139"/>
      <c r="N4" s="139"/>
      <c r="O4" s="139"/>
      <c r="V4" s="140" t="s">
        <v>140</v>
      </c>
      <c r="W4" s="141"/>
      <c r="X4" s="141"/>
      <c r="Z4" s="67"/>
    </row>
    <row r="5" spans="1:28" x14ac:dyDescent="0.35">
      <c r="A5" s="19" t="s">
        <v>108</v>
      </c>
      <c r="B5" s="19" t="s">
        <v>109</v>
      </c>
      <c r="C5" s="19" t="s">
        <v>110</v>
      </c>
      <c r="D5" s="22"/>
      <c r="E5" s="19" t="s">
        <v>108</v>
      </c>
      <c r="F5" s="19" t="s">
        <v>111</v>
      </c>
      <c r="I5" s="18"/>
      <c r="J5" s="18" t="s">
        <v>112</v>
      </c>
      <c r="K5" s="18" t="s">
        <v>113</v>
      </c>
      <c r="L5" s="37" t="s">
        <v>114</v>
      </c>
      <c r="M5" s="18" t="s">
        <v>136</v>
      </c>
      <c r="N5" s="18" t="s">
        <v>113</v>
      </c>
      <c r="O5" s="37" t="s">
        <v>114</v>
      </c>
      <c r="V5" s="18" t="s">
        <v>112</v>
      </c>
      <c r="W5" s="18" t="s">
        <v>136</v>
      </c>
      <c r="X5" s="18" t="s">
        <v>141</v>
      </c>
      <c r="Z5" s="65" t="s">
        <v>165</v>
      </c>
      <c r="AA5" s="65" t="s">
        <v>166</v>
      </c>
      <c r="AB5" s="65" t="s">
        <v>172</v>
      </c>
    </row>
    <row r="6" spans="1:28" ht="18" x14ac:dyDescent="0.35">
      <c r="A6" s="20" t="s">
        <v>55</v>
      </c>
      <c r="B6" s="43">
        <v>5.8999999999999997E-2</v>
      </c>
      <c r="C6" s="44">
        <v>4.2000000000000003E-2</v>
      </c>
      <c r="E6" s="23" t="s">
        <v>55</v>
      </c>
      <c r="F6" s="24">
        <v>59</v>
      </c>
      <c r="I6" s="18" t="s">
        <v>115</v>
      </c>
      <c r="J6" s="18">
        <f>B6+B7+B8+B9+B10+B11+B12+B13</f>
        <v>0.22000000000000003</v>
      </c>
      <c r="K6" s="18">
        <v>0.22</v>
      </c>
      <c r="L6" s="37">
        <f>K6-J6</f>
        <v>0</v>
      </c>
      <c r="M6" s="18">
        <f>C6+C7+C8+C9+C11+C12+C10+C13</f>
        <v>0.18000000000000002</v>
      </c>
      <c r="N6" s="18">
        <v>0.18</v>
      </c>
      <c r="O6" s="37">
        <f>N6-M6</f>
        <v>0</v>
      </c>
      <c r="U6" s="20" t="s">
        <v>55</v>
      </c>
      <c r="V6" s="41">
        <f>анализ!F8</f>
        <v>116</v>
      </c>
      <c r="W6" s="41">
        <f>анализ!M8</f>
        <v>116</v>
      </c>
      <c r="X6" s="18">
        <f>V6-W6</f>
        <v>0</v>
      </c>
      <c r="Z6" s="68" t="s">
        <v>208</v>
      </c>
      <c r="AA6" s="50" t="s">
        <v>167</v>
      </c>
      <c r="AB6" s="50" t="s">
        <v>207</v>
      </c>
    </row>
    <row r="7" spans="1:28" ht="29" x14ac:dyDescent="0.35">
      <c r="A7" s="20" t="s">
        <v>56</v>
      </c>
      <c r="B7" s="43">
        <v>0.05</v>
      </c>
      <c r="C7" s="44">
        <v>0.04</v>
      </c>
      <c r="E7" s="23" t="s">
        <v>56</v>
      </c>
      <c r="F7" s="24">
        <v>52</v>
      </c>
      <c r="I7" s="30" t="s">
        <v>116</v>
      </c>
      <c r="J7" s="18">
        <f>B10+B12+B13</f>
        <v>0.02</v>
      </c>
      <c r="K7" s="31">
        <v>0.02</v>
      </c>
      <c r="L7" s="37">
        <f t="shared" ref="L7:L42" si="0">K7-J7</f>
        <v>0</v>
      </c>
      <c r="M7" s="18">
        <f>C10+C12+C13</f>
        <v>1.8000000000000002E-2</v>
      </c>
      <c r="N7" s="31">
        <v>1.7999999999999999E-2</v>
      </c>
      <c r="O7" s="37">
        <f t="shared" ref="O7:O42" si="1">N7-M7</f>
        <v>0</v>
      </c>
      <c r="U7" s="20" t="s">
        <v>56</v>
      </c>
      <c r="V7" s="41">
        <f>анализ!F9</f>
        <v>116</v>
      </c>
      <c r="W7" s="41">
        <f>анализ!M9</f>
        <v>116</v>
      </c>
      <c r="X7" s="18">
        <f t="shared" ref="X7:X66" si="2">V7-W7</f>
        <v>0</v>
      </c>
    </row>
    <row r="8" spans="1:28" ht="18" x14ac:dyDescent="0.35">
      <c r="A8" s="20" t="s">
        <v>57</v>
      </c>
      <c r="B8" s="43">
        <v>0.05</v>
      </c>
      <c r="C8" s="44">
        <v>4.2000000000000003E-2</v>
      </c>
      <c r="E8" s="23" t="s">
        <v>57</v>
      </c>
      <c r="F8" s="24">
        <v>61</v>
      </c>
      <c r="I8" s="18" t="s">
        <v>117</v>
      </c>
      <c r="J8" s="18">
        <f>B14</f>
        <v>0.14000000000000001</v>
      </c>
      <c r="K8" s="18">
        <v>0.14000000000000001</v>
      </c>
      <c r="L8" s="37">
        <f t="shared" si="0"/>
        <v>0</v>
      </c>
      <c r="M8" s="18">
        <f>C14</f>
        <v>0.12</v>
      </c>
      <c r="N8" s="18">
        <v>0.12</v>
      </c>
      <c r="O8" s="37">
        <f t="shared" si="1"/>
        <v>0</v>
      </c>
      <c r="U8" s="20" t="s">
        <v>57</v>
      </c>
      <c r="V8" s="41">
        <f>анализ!F10</f>
        <v>116</v>
      </c>
      <c r="W8" s="41">
        <f>анализ!M10</f>
        <v>116</v>
      </c>
      <c r="X8" s="18">
        <f t="shared" si="2"/>
        <v>0</v>
      </c>
    </row>
    <row r="9" spans="1:28" ht="18" x14ac:dyDescent="0.35">
      <c r="A9" s="20" t="s">
        <v>58</v>
      </c>
      <c r="B9" s="43">
        <v>2.8000000000000001E-2</v>
      </c>
      <c r="C9" s="44">
        <v>2.8000000000000001E-2</v>
      </c>
      <c r="E9" s="23" t="s">
        <v>58</v>
      </c>
      <c r="F9" s="24">
        <v>56</v>
      </c>
      <c r="I9" s="32" t="s">
        <v>118</v>
      </c>
      <c r="J9" s="18">
        <f>B15+B16</f>
        <v>0.08</v>
      </c>
      <c r="K9" s="33">
        <v>0.08</v>
      </c>
      <c r="L9" s="37">
        <f t="shared" si="0"/>
        <v>0</v>
      </c>
      <c r="M9" s="35">
        <f>C15+C16</f>
        <v>0.06</v>
      </c>
      <c r="N9" s="33">
        <v>0.06</v>
      </c>
      <c r="O9" s="37">
        <f t="shared" si="1"/>
        <v>0</v>
      </c>
      <c r="U9" s="20" t="s">
        <v>58</v>
      </c>
      <c r="V9" s="41">
        <f>анализ!F11</f>
        <v>116</v>
      </c>
      <c r="W9" s="41">
        <f>анализ!M11</f>
        <v>116</v>
      </c>
      <c r="X9" s="18">
        <f t="shared" si="2"/>
        <v>0</v>
      </c>
    </row>
    <row r="10" spans="1:28" ht="31" x14ac:dyDescent="0.35">
      <c r="A10" s="20" t="s">
        <v>59</v>
      </c>
      <c r="B10" s="43">
        <v>7.0000000000000001E-3</v>
      </c>
      <c r="C10" s="44">
        <v>6.0000000000000001E-3</v>
      </c>
      <c r="E10" s="23" t="s">
        <v>59</v>
      </c>
      <c r="F10" s="24">
        <v>163</v>
      </c>
      <c r="I10" s="33" t="s">
        <v>12</v>
      </c>
      <c r="J10" s="18">
        <f>B17</f>
        <v>0.05</v>
      </c>
      <c r="K10" s="33">
        <v>0.05</v>
      </c>
      <c r="L10" s="37">
        <f t="shared" si="0"/>
        <v>0</v>
      </c>
      <c r="M10" s="35">
        <f>C17</f>
        <v>0.04</v>
      </c>
      <c r="N10" s="33">
        <v>0.04</v>
      </c>
      <c r="O10" s="37">
        <f t="shared" si="1"/>
        <v>0</v>
      </c>
      <c r="U10" s="20" t="s">
        <v>59</v>
      </c>
      <c r="V10" s="41" t="e">
        <f>анализ!#REF!</f>
        <v>#REF!</v>
      </c>
      <c r="W10" s="41" t="e">
        <f>анализ!#REF!</f>
        <v>#REF!</v>
      </c>
      <c r="X10" s="18" t="e">
        <f t="shared" si="2"/>
        <v>#REF!</v>
      </c>
    </row>
    <row r="11" spans="1:28" ht="31" x14ac:dyDescent="0.35">
      <c r="A11" s="20" t="s">
        <v>60</v>
      </c>
      <c r="B11" s="43">
        <v>1.2999999999999999E-2</v>
      </c>
      <c r="C11" s="44">
        <v>0.01</v>
      </c>
      <c r="E11" s="23" t="s">
        <v>60</v>
      </c>
      <c r="F11" s="24">
        <v>188</v>
      </c>
      <c r="I11" s="18" t="s">
        <v>119</v>
      </c>
      <c r="J11" s="18">
        <f>B18+B19+B20+B21+B22</f>
        <v>2.0000000000000004E-2</v>
      </c>
      <c r="K11" s="18">
        <v>0.02</v>
      </c>
      <c r="L11" s="37">
        <f t="shared" si="0"/>
        <v>0</v>
      </c>
      <c r="M11" s="35">
        <f>C18+C19+C20+C21+C22</f>
        <v>1.2E-2</v>
      </c>
      <c r="N11" s="18">
        <v>1.2E-2</v>
      </c>
      <c r="O11" s="37">
        <f t="shared" si="1"/>
        <v>0</v>
      </c>
      <c r="U11" s="20" t="s">
        <v>60</v>
      </c>
      <c r="V11" s="41" t="e">
        <f>анализ!#REF!</f>
        <v>#REF!</v>
      </c>
      <c r="W11" s="41" t="e">
        <f>анализ!#REF!</f>
        <v>#REF!</v>
      </c>
      <c r="X11" s="18" t="e">
        <f t="shared" si="2"/>
        <v>#REF!</v>
      </c>
    </row>
    <row r="12" spans="1:28" ht="46.5" x14ac:dyDescent="0.35">
      <c r="A12" s="20" t="s">
        <v>61</v>
      </c>
      <c r="B12" s="43">
        <v>2E-3</v>
      </c>
      <c r="C12" s="44">
        <v>2E-3</v>
      </c>
      <c r="E12" s="23" t="s">
        <v>61</v>
      </c>
      <c r="F12" s="24">
        <v>120</v>
      </c>
      <c r="I12" s="18" t="s">
        <v>120</v>
      </c>
      <c r="J12" s="18">
        <f>B23</f>
        <v>5.9999999999999995E-4</v>
      </c>
      <c r="K12" s="18">
        <v>5.9999999999999995E-4</v>
      </c>
      <c r="L12" s="40">
        <f>K12-J12</f>
        <v>0</v>
      </c>
      <c r="M12" s="36">
        <f>C23</f>
        <v>5.0000000000000001E-4</v>
      </c>
      <c r="N12" s="18">
        <v>5.0000000000000001E-4</v>
      </c>
      <c r="O12" s="37">
        <f t="shared" si="1"/>
        <v>0</v>
      </c>
      <c r="U12" s="20" t="s">
        <v>61</v>
      </c>
      <c r="V12" s="41" t="e">
        <f>анализ!#REF!</f>
        <v>#REF!</v>
      </c>
      <c r="W12" s="41" t="e">
        <f>анализ!#REF!</f>
        <v>#REF!</v>
      </c>
      <c r="X12" s="18" t="e">
        <f t="shared" si="2"/>
        <v>#REF!</v>
      </c>
    </row>
    <row r="13" spans="1:28" ht="31" x14ac:dyDescent="0.35">
      <c r="A13" s="20" t="s">
        <v>62</v>
      </c>
      <c r="B13" s="43">
        <v>1.0999999999999999E-2</v>
      </c>
      <c r="C13" s="44">
        <v>0.01</v>
      </c>
      <c r="E13" s="23" t="s">
        <v>62</v>
      </c>
      <c r="F13" s="24">
        <v>150</v>
      </c>
      <c r="I13" s="30" t="s">
        <v>18</v>
      </c>
      <c r="J13" s="18">
        <f>B24</f>
        <v>1.1999999999999999E-3</v>
      </c>
      <c r="K13" s="18">
        <v>1.1999999999999999E-3</v>
      </c>
      <c r="L13" s="37">
        <f t="shared" si="0"/>
        <v>0</v>
      </c>
      <c r="M13" s="36">
        <f>C24</f>
        <v>1E-3</v>
      </c>
      <c r="N13" s="18">
        <v>1E-3</v>
      </c>
      <c r="O13" s="37">
        <f t="shared" si="1"/>
        <v>0</v>
      </c>
      <c r="U13" s="20" t="s">
        <v>62</v>
      </c>
      <c r="V13" s="41" t="e">
        <f>анализ!#REF!</f>
        <v>#REF!</v>
      </c>
      <c r="W13" s="41" t="e">
        <f>анализ!#REF!</f>
        <v>#REF!</v>
      </c>
      <c r="X13" s="18" t="e">
        <f t="shared" si="2"/>
        <v>#REF!</v>
      </c>
    </row>
    <row r="14" spans="1:28" ht="18.5" x14ac:dyDescent="0.45">
      <c r="A14" s="20" t="s">
        <v>63</v>
      </c>
      <c r="B14" s="43">
        <v>0.14000000000000001</v>
      </c>
      <c r="C14" s="45">
        <v>0.12</v>
      </c>
      <c r="E14" s="23" t="s">
        <v>63</v>
      </c>
      <c r="F14" s="24">
        <v>49</v>
      </c>
      <c r="I14" s="18" t="s">
        <v>19</v>
      </c>
      <c r="J14" s="18">
        <f>B25</f>
        <v>5.9999999999999995E-4</v>
      </c>
      <c r="K14" s="18">
        <v>5.9999999999999995E-4</v>
      </c>
      <c r="L14" s="37">
        <f t="shared" si="0"/>
        <v>0</v>
      </c>
      <c r="M14" s="36">
        <f>C25</f>
        <v>5.0000000000000001E-4</v>
      </c>
      <c r="N14" s="18">
        <v>5.0000000000000001E-4</v>
      </c>
      <c r="O14" s="37">
        <f t="shared" si="1"/>
        <v>0</v>
      </c>
      <c r="U14" s="20" t="s">
        <v>63</v>
      </c>
      <c r="V14" s="41">
        <f>анализ!F12</f>
        <v>116</v>
      </c>
      <c r="W14" s="41">
        <f>анализ!M12</f>
        <v>116</v>
      </c>
      <c r="X14" s="18">
        <f t="shared" si="2"/>
        <v>0</v>
      </c>
    </row>
    <row r="15" spans="1:28" ht="31" x14ac:dyDescent="0.45">
      <c r="A15" s="20" t="s">
        <v>10</v>
      </c>
      <c r="B15" s="43">
        <v>0.03</v>
      </c>
      <c r="C15" s="46">
        <v>0.03</v>
      </c>
      <c r="E15" s="23" t="s">
        <v>10</v>
      </c>
      <c r="F15" s="24">
        <v>84.9</v>
      </c>
      <c r="I15" s="18" t="s">
        <v>121</v>
      </c>
      <c r="J15" s="18">
        <f>B27+B28+B29</f>
        <v>1.0999999999999999E-2</v>
      </c>
      <c r="K15" s="18">
        <v>1.0999999999999999E-2</v>
      </c>
      <c r="L15" s="37">
        <f t="shared" si="0"/>
        <v>0</v>
      </c>
      <c r="M15" s="35">
        <f>C27+C28+C29</f>
        <v>8.9999999999999993E-3</v>
      </c>
      <c r="N15" s="18">
        <v>8.9999999999999993E-3</v>
      </c>
      <c r="O15" s="37">
        <f t="shared" si="1"/>
        <v>0</v>
      </c>
      <c r="U15" s="20" t="s">
        <v>10</v>
      </c>
      <c r="V15" s="41">
        <f>анализ!F13</f>
        <v>115.86666666666669</v>
      </c>
      <c r="W15" s="41">
        <f>анализ!M13</f>
        <v>115.50000000000003</v>
      </c>
      <c r="X15" s="18">
        <f t="shared" si="2"/>
        <v>0.36666666666666003</v>
      </c>
    </row>
    <row r="16" spans="1:28" ht="18.5" x14ac:dyDescent="0.45">
      <c r="A16" s="20" t="s">
        <v>11</v>
      </c>
      <c r="B16" s="43">
        <v>0.05</v>
      </c>
      <c r="C16" s="46">
        <v>0.03</v>
      </c>
      <c r="E16" s="23" t="s">
        <v>11</v>
      </c>
      <c r="F16" s="24">
        <v>95</v>
      </c>
      <c r="I16" s="34" t="s">
        <v>122</v>
      </c>
      <c r="J16">
        <f>B31+B32+B33+B34+B63</f>
        <v>0.1</v>
      </c>
      <c r="K16" s="34">
        <v>0.1</v>
      </c>
      <c r="L16" s="38">
        <f t="shared" si="0"/>
        <v>0</v>
      </c>
      <c r="M16">
        <f>C31+C32+C33+C34+C63</f>
        <v>9.5000000000000001E-2</v>
      </c>
      <c r="N16" s="34">
        <v>9.5000000000000001E-2</v>
      </c>
      <c r="O16" s="38">
        <f t="shared" si="1"/>
        <v>0</v>
      </c>
      <c r="P16" s="18" t="s">
        <v>123</v>
      </c>
      <c r="Q16" s="18"/>
      <c r="U16" s="20" t="s">
        <v>11</v>
      </c>
      <c r="V16" s="41">
        <f>анализ!F14</f>
        <v>115.92</v>
      </c>
      <c r="W16" s="41">
        <f>анализ!M14</f>
        <v>115.00000000000001</v>
      </c>
      <c r="X16" s="18">
        <f t="shared" si="2"/>
        <v>0.91999999999998749</v>
      </c>
    </row>
    <row r="17" spans="1:24" ht="31" x14ac:dyDescent="0.45">
      <c r="A17" s="20" t="s">
        <v>12</v>
      </c>
      <c r="B17" s="43">
        <v>0.05</v>
      </c>
      <c r="C17" s="46">
        <v>0.04</v>
      </c>
      <c r="E17" s="23" t="s">
        <v>12</v>
      </c>
      <c r="F17" s="24">
        <v>64</v>
      </c>
      <c r="I17" s="33" t="s">
        <v>124</v>
      </c>
      <c r="J17" s="18">
        <f>B35</f>
        <v>5.0000000000000001E-4</v>
      </c>
      <c r="K17" s="18">
        <f>0.0005</f>
        <v>5.0000000000000001E-4</v>
      </c>
      <c r="L17" s="37">
        <f t="shared" si="0"/>
        <v>0</v>
      </c>
      <c r="M17" s="36">
        <f>C35</f>
        <v>4.0000000000000002E-4</v>
      </c>
      <c r="N17" s="18">
        <v>4.0000000000000002E-4</v>
      </c>
      <c r="O17" s="37">
        <f t="shared" si="1"/>
        <v>0</v>
      </c>
      <c r="U17" s="20" t="s">
        <v>12</v>
      </c>
      <c r="V17" s="41">
        <f>анализ!F15</f>
        <v>115.872</v>
      </c>
      <c r="W17" s="41">
        <f>анализ!M15</f>
        <v>115.60000000000001</v>
      </c>
      <c r="X17" s="18">
        <f t="shared" si="2"/>
        <v>0.27199999999999136</v>
      </c>
    </row>
    <row r="18" spans="1:24" ht="18.5" x14ac:dyDescent="0.45">
      <c r="A18" s="20" t="s">
        <v>13</v>
      </c>
      <c r="B18" s="43">
        <v>1.2E-2</v>
      </c>
      <c r="C18" s="46">
        <v>6.0000000000000001E-3</v>
      </c>
      <c r="E18" s="23" t="s">
        <v>13</v>
      </c>
      <c r="F18" s="24">
        <v>185</v>
      </c>
      <c r="I18" s="18" t="s">
        <v>125</v>
      </c>
      <c r="J18" s="18">
        <v>1</v>
      </c>
      <c r="K18" s="18">
        <v>1</v>
      </c>
      <c r="L18" s="37">
        <f t="shared" si="0"/>
        <v>0</v>
      </c>
      <c r="M18" s="35">
        <f>C36</f>
        <v>1</v>
      </c>
      <c r="N18" s="18">
        <v>1</v>
      </c>
      <c r="O18" s="37">
        <f t="shared" si="1"/>
        <v>0</v>
      </c>
      <c r="U18" s="20" t="s">
        <v>13</v>
      </c>
      <c r="V18" s="41" t="e">
        <f>анализ!#REF!</f>
        <v>#REF!</v>
      </c>
      <c r="W18" s="41" t="e">
        <f>анализ!#REF!</f>
        <v>#REF!</v>
      </c>
      <c r="X18" s="18" t="e">
        <f t="shared" si="2"/>
        <v>#REF!</v>
      </c>
    </row>
    <row r="19" spans="1:24" ht="18.5" x14ac:dyDescent="0.45">
      <c r="A19" s="20" t="s">
        <v>14</v>
      </c>
      <c r="B19" s="43">
        <v>4.0000000000000001E-3</v>
      </c>
      <c r="C19" s="46">
        <v>2E-3</v>
      </c>
      <c r="E19" s="23" t="s">
        <v>14</v>
      </c>
      <c r="F19" s="24">
        <v>260</v>
      </c>
      <c r="I19" s="18" t="s">
        <v>126</v>
      </c>
      <c r="J19" s="35">
        <f>C37+C38+C39+B59+B62</f>
        <v>0.45</v>
      </c>
      <c r="K19" s="18">
        <v>0.45</v>
      </c>
      <c r="L19" s="37">
        <f t="shared" si="0"/>
        <v>0</v>
      </c>
      <c r="M19" s="35">
        <f>C37+C38+C39+C59+C62</f>
        <v>0.39</v>
      </c>
      <c r="N19" s="18">
        <v>0.39</v>
      </c>
      <c r="O19" s="37">
        <f t="shared" si="1"/>
        <v>0</v>
      </c>
      <c r="P19" s="18" t="s">
        <v>127</v>
      </c>
      <c r="Q19" s="18"/>
      <c r="R19" s="18" t="s">
        <v>128</v>
      </c>
      <c r="S19" s="18"/>
      <c r="U19" s="20" t="s">
        <v>14</v>
      </c>
      <c r="V19" s="41" t="e">
        <f>анализ!#REF!</f>
        <v>#REF!</v>
      </c>
      <c r="W19" s="41" t="e">
        <f>анализ!#REF!</f>
        <v>#REF!</v>
      </c>
      <c r="X19" s="18" t="e">
        <f t="shared" si="2"/>
        <v>#REF!</v>
      </c>
    </row>
    <row r="20" spans="1:24" ht="18.5" x14ac:dyDescent="0.45">
      <c r="A20" s="20" t="s">
        <v>15</v>
      </c>
      <c r="B20" s="43">
        <v>2E-3</v>
      </c>
      <c r="C20" s="46">
        <v>2E-3</v>
      </c>
      <c r="E20" s="23" t="s">
        <v>15</v>
      </c>
      <c r="F20" s="24">
        <v>174</v>
      </c>
      <c r="I20" s="18" t="s">
        <v>129</v>
      </c>
      <c r="J20" s="18">
        <f>B40</f>
        <v>1.0999999999999999E-2</v>
      </c>
      <c r="K20" s="18">
        <v>1.0999999999999999E-2</v>
      </c>
      <c r="L20" s="37">
        <f t="shared" si="0"/>
        <v>0</v>
      </c>
      <c r="M20" s="35">
        <f>C40</f>
        <v>8.9999999999999993E-3</v>
      </c>
      <c r="N20" s="18">
        <v>8.9999999999999993E-3</v>
      </c>
      <c r="O20" s="37">
        <f t="shared" si="1"/>
        <v>0</v>
      </c>
      <c r="U20" s="20" t="s">
        <v>15</v>
      </c>
      <c r="V20" s="41" t="e">
        <f>анализ!#REF!</f>
        <v>#REF!</v>
      </c>
      <c r="W20" s="41" t="e">
        <f>анализ!#REF!</f>
        <v>#REF!</v>
      </c>
      <c r="X20" s="18" t="e">
        <f t="shared" si="2"/>
        <v>#REF!</v>
      </c>
    </row>
    <row r="21" spans="1:24" ht="18.5" x14ac:dyDescent="0.45">
      <c r="A21" s="20" t="s">
        <v>16</v>
      </c>
      <c r="B21" s="43">
        <v>0</v>
      </c>
      <c r="C21" s="46">
        <v>0</v>
      </c>
      <c r="E21" s="23" t="s">
        <v>16</v>
      </c>
      <c r="F21" s="24">
        <v>0</v>
      </c>
      <c r="I21" s="18" t="s">
        <v>130</v>
      </c>
      <c r="J21" s="18">
        <f>B41</f>
        <v>1.2E-2</v>
      </c>
      <c r="K21" s="18">
        <v>1.2E-2</v>
      </c>
      <c r="L21" s="37">
        <f t="shared" si="0"/>
        <v>0</v>
      </c>
      <c r="M21" s="35">
        <f>C41</f>
        <v>8.0000000000000002E-3</v>
      </c>
      <c r="N21" s="18">
        <v>8.0000000000000002E-3</v>
      </c>
      <c r="O21" s="37">
        <f t="shared" si="1"/>
        <v>0</v>
      </c>
      <c r="U21" s="20" t="s">
        <v>16</v>
      </c>
      <c r="V21" s="41" t="e">
        <f>анализ!#REF!</f>
        <v>#REF!</v>
      </c>
      <c r="W21" s="41" t="e">
        <f>анализ!#REF!</f>
        <v>#REF!</v>
      </c>
      <c r="X21" s="18" t="e">
        <f t="shared" si="2"/>
        <v>#REF!</v>
      </c>
    </row>
    <row r="22" spans="1:24" ht="18.5" x14ac:dyDescent="0.45">
      <c r="A22" s="20" t="s">
        <v>17</v>
      </c>
      <c r="B22" s="43">
        <v>2E-3</v>
      </c>
      <c r="C22" s="46">
        <v>2E-3</v>
      </c>
      <c r="E22" s="23" t="s">
        <v>17</v>
      </c>
      <c r="F22" s="24">
        <v>315</v>
      </c>
      <c r="I22" s="18" t="s">
        <v>131</v>
      </c>
      <c r="J22" s="18">
        <f>B42+B43+B44+B45+B46+B47+B48+B49</f>
        <v>4.2999999999999997E-2</v>
      </c>
      <c r="K22" s="18">
        <v>4.2999999999999997E-2</v>
      </c>
      <c r="L22" s="37">
        <f t="shared" si="0"/>
        <v>0</v>
      </c>
      <c r="M22" s="18">
        <f>C42+C43+C44+C45+C46+C47+C48+C49</f>
        <v>3.0000000000000002E-2</v>
      </c>
      <c r="N22" s="18">
        <v>0.03</v>
      </c>
      <c r="O22" s="37">
        <f t="shared" si="1"/>
        <v>0</v>
      </c>
      <c r="U22" s="20" t="s">
        <v>17</v>
      </c>
      <c r="V22" s="41" t="e">
        <f>анализ!#REF!</f>
        <v>#REF!</v>
      </c>
      <c r="W22" s="41" t="e">
        <f>анализ!#REF!</f>
        <v>#REF!</v>
      </c>
      <c r="X22" s="18" t="e">
        <f t="shared" si="2"/>
        <v>#REF!</v>
      </c>
    </row>
    <row r="23" spans="1:24" ht="18.5" x14ac:dyDescent="0.45">
      <c r="A23" s="20" t="s">
        <v>64</v>
      </c>
      <c r="B23" s="43">
        <v>5.9999999999999995E-4</v>
      </c>
      <c r="C23" s="47">
        <v>5.0000000000000001E-4</v>
      </c>
      <c r="E23" s="23" t="s">
        <v>64</v>
      </c>
      <c r="F23" s="24">
        <v>1000</v>
      </c>
      <c r="I23" s="18" t="s">
        <v>132</v>
      </c>
      <c r="J23" s="18">
        <f>B50</f>
        <v>2.9000000000000001E-2</v>
      </c>
      <c r="K23" s="18">
        <v>2.9000000000000001E-2</v>
      </c>
      <c r="L23" s="37">
        <f t="shared" si="0"/>
        <v>0</v>
      </c>
      <c r="M23" s="35">
        <f>C50</f>
        <v>2.5000000000000001E-2</v>
      </c>
      <c r="N23" s="18">
        <v>2.5000000000000001E-2</v>
      </c>
      <c r="O23" s="37">
        <f t="shared" si="1"/>
        <v>0</v>
      </c>
      <c r="U23" s="20" t="s">
        <v>64</v>
      </c>
      <c r="V23" s="41" t="e">
        <f>анализ!#REF!</f>
        <v>#REF!</v>
      </c>
      <c r="W23" s="41" t="e">
        <f>анализ!#REF!</f>
        <v>#REF!</v>
      </c>
      <c r="X23" s="18" t="e">
        <f t="shared" si="2"/>
        <v>#REF!</v>
      </c>
    </row>
    <row r="24" spans="1:24" ht="31" x14ac:dyDescent="0.45">
      <c r="A24" s="20" t="s">
        <v>18</v>
      </c>
      <c r="B24" s="43">
        <v>1.1999999999999999E-3</v>
      </c>
      <c r="C24" s="47">
        <v>1E-3</v>
      </c>
      <c r="E24" s="23" t="s">
        <v>18</v>
      </c>
      <c r="F24" s="24">
        <v>489</v>
      </c>
      <c r="I24" s="18" t="s">
        <v>133</v>
      </c>
      <c r="J24" s="18">
        <f>B51</f>
        <v>5.0000000000000001E-3</v>
      </c>
      <c r="K24" s="18">
        <v>5.0000000000000001E-3</v>
      </c>
      <c r="L24" s="37">
        <f t="shared" si="0"/>
        <v>0</v>
      </c>
      <c r="M24" s="35">
        <f>C51</f>
        <v>3.0000000000000001E-3</v>
      </c>
      <c r="N24" s="18">
        <v>3.0000000000000001E-3</v>
      </c>
      <c r="O24" s="37">
        <f t="shared" si="1"/>
        <v>0</v>
      </c>
      <c r="U24" s="20" t="s">
        <v>18</v>
      </c>
      <c r="V24" s="41" t="e">
        <f>анализ!#REF!</f>
        <v>#REF!</v>
      </c>
      <c r="W24" s="41" t="e">
        <f>анализ!#REF!</f>
        <v>#REF!</v>
      </c>
      <c r="X24" s="18" t="e">
        <f t="shared" si="2"/>
        <v>#REF!</v>
      </c>
    </row>
    <row r="25" spans="1:24" ht="18.5" x14ac:dyDescent="0.45">
      <c r="A25" s="20" t="s">
        <v>19</v>
      </c>
      <c r="B25" s="43">
        <v>5.9999999999999995E-4</v>
      </c>
      <c r="C25" s="47">
        <v>5.0000000000000001E-4</v>
      </c>
      <c r="E25" s="23" t="s">
        <v>19</v>
      </c>
      <c r="F25" s="24">
        <v>342</v>
      </c>
      <c r="I25" s="18" t="s">
        <v>134</v>
      </c>
      <c r="J25" s="18">
        <f>B52</f>
        <v>0.03</v>
      </c>
      <c r="K25" s="18">
        <v>0.03</v>
      </c>
      <c r="L25" s="37">
        <f t="shared" si="0"/>
        <v>0</v>
      </c>
      <c r="M25" s="35">
        <f>C52</f>
        <v>2.5000000000000001E-2</v>
      </c>
      <c r="N25" s="18">
        <v>2.5000000000000001E-2</v>
      </c>
      <c r="O25" s="37">
        <f t="shared" si="1"/>
        <v>0</v>
      </c>
      <c r="U25" s="20" t="s">
        <v>19</v>
      </c>
      <c r="V25" s="41" t="e">
        <f>анализ!#REF!</f>
        <v>#REF!</v>
      </c>
      <c r="W25" s="41" t="e">
        <f>анализ!#REF!</f>
        <v>#REF!</v>
      </c>
      <c r="X25" s="18" t="e">
        <f t="shared" si="2"/>
        <v>#REF!</v>
      </c>
    </row>
    <row r="26" spans="1:24" ht="18.5" x14ac:dyDescent="0.45">
      <c r="A26" s="20" t="s">
        <v>20</v>
      </c>
      <c r="B26" s="43">
        <v>6.0000000000000001E-3</v>
      </c>
      <c r="C26" s="46">
        <v>5.0000000000000001E-3</v>
      </c>
      <c r="E26" s="23" t="s">
        <v>20</v>
      </c>
      <c r="F26" s="24">
        <v>200</v>
      </c>
      <c r="I26" s="30" t="s">
        <v>135</v>
      </c>
      <c r="J26" s="18">
        <f>B53</f>
        <v>1.0999999999999999E-2</v>
      </c>
      <c r="K26" s="18">
        <v>1.0999999999999999E-2</v>
      </c>
      <c r="L26" s="37">
        <f t="shared" si="0"/>
        <v>0</v>
      </c>
      <c r="M26" s="35">
        <f>C53</f>
        <v>8.9999999999999993E-3</v>
      </c>
      <c r="N26" s="18">
        <v>8.9999999999999993E-3</v>
      </c>
      <c r="O26" s="37">
        <f t="shared" si="1"/>
        <v>0</v>
      </c>
      <c r="U26" s="20" t="s">
        <v>20</v>
      </c>
      <c r="V26" s="41" t="e">
        <f>анализ!#REF!</f>
        <v>#REF!</v>
      </c>
      <c r="W26" s="41" t="e">
        <f>анализ!#REF!</f>
        <v>#REF!</v>
      </c>
      <c r="X26" s="18" t="e">
        <f t="shared" si="2"/>
        <v>#REF!</v>
      </c>
    </row>
    <row r="27" spans="1:24" ht="31" x14ac:dyDescent="0.45">
      <c r="A27" s="20" t="s">
        <v>21</v>
      </c>
      <c r="B27" s="43">
        <v>1.0999999999999999E-2</v>
      </c>
      <c r="C27" s="46">
        <v>8.9999999999999993E-3</v>
      </c>
      <c r="E27" s="23" t="s">
        <v>21</v>
      </c>
      <c r="F27" s="24">
        <v>180</v>
      </c>
      <c r="I27" s="18" t="s">
        <v>153</v>
      </c>
      <c r="J27" s="18">
        <f>B54+B64+B65</f>
        <v>3.6999999999999998E-2</v>
      </c>
      <c r="K27" s="18">
        <v>3.6999999999999998E-2</v>
      </c>
      <c r="L27" s="37">
        <f t="shared" si="0"/>
        <v>0</v>
      </c>
      <c r="M27" s="35">
        <f>C54+C64+C65</f>
        <v>3.2000000000000001E-2</v>
      </c>
      <c r="N27" s="18">
        <v>3.2000000000000001E-2</v>
      </c>
      <c r="O27" s="37">
        <f t="shared" si="1"/>
        <v>0</v>
      </c>
      <c r="Q27" s="39" t="s">
        <v>137</v>
      </c>
      <c r="R27" s="18"/>
      <c r="S27" s="18"/>
      <c r="U27" s="20" t="s">
        <v>21</v>
      </c>
      <c r="V27" s="41" t="e">
        <f>анализ!#REF!</f>
        <v>#REF!</v>
      </c>
      <c r="W27" s="41" t="e">
        <f>анализ!#REF!</f>
        <v>#REF!</v>
      </c>
      <c r="X27" s="18" t="e">
        <f t="shared" si="2"/>
        <v>#REF!</v>
      </c>
    </row>
    <row r="28" spans="1:24" ht="30" x14ac:dyDescent="0.45">
      <c r="A28" s="20" t="s">
        <v>22</v>
      </c>
      <c r="B28" s="43">
        <v>0</v>
      </c>
      <c r="C28" s="46">
        <v>0</v>
      </c>
      <c r="E28" s="23" t="s">
        <v>22</v>
      </c>
      <c r="F28" s="24">
        <v>0</v>
      </c>
      <c r="I28" s="18"/>
      <c r="J28" s="18"/>
      <c r="K28" s="18"/>
      <c r="L28" s="37">
        <f t="shared" si="0"/>
        <v>0</v>
      </c>
      <c r="M28" s="18"/>
      <c r="N28" s="18"/>
      <c r="O28" s="37">
        <f t="shared" si="1"/>
        <v>0</v>
      </c>
      <c r="Q28" s="39" t="s">
        <v>138</v>
      </c>
      <c r="R28" s="18"/>
      <c r="S28" s="18"/>
      <c r="U28" s="20" t="s">
        <v>22</v>
      </c>
      <c r="V28" s="41" t="e">
        <f>анализ!#REF!</f>
        <v>#REF!</v>
      </c>
      <c r="W28" s="41" t="e">
        <f>анализ!#REF!</f>
        <v>#REF!</v>
      </c>
      <c r="X28" s="18" t="e">
        <f t="shared" si="2"/>
        <v>#REF!</v>
      </c>
    </row>
    <row r="29" spans="1:24" ht="18.5" x14ac:dyDescent="0.45">
      <c r="A29" s="20" t="s">
        <v>23</v>
      </c>
      <c r="B29" s="43">
        <v>0</v>
      </c>
      <c r="C29" s="46">
        <v>0</v>
      </c>
      <c r="E29" s="23" t="s">
        <v>23</v>
      </c>
      <c r="F29" s="24">
        <v>0</v>
      </c>
      <c r="I29" s="18"/>
      <c r="J29" s="18"/>
      <c r="K29" s="18"/>
      <c r="L29" s="37">
        <f t="shared" si="0"/>
        <v>0</v>
      </c>
      <c r="M29" s="18"/>
      <c r="N29" s="18"/>
      <c r="O29" s="37">
        <f t="shared" si="1"/>
        <v>0</v>
      </c>
      <c r="U29" s="20" t="s">
        <v>23</v>
      </c>
      <c r="V29" s="41" t="e">
        <f>анализ!#REF!</f>
        <v>#REF!</v>
      </c>
      <c r="W29" s="41" t="e">
        <f>анализ!#REF!</f>
        <v>#REF!</v>
      </c>
      <c r="X29" s="18" t="e">
        <f t="shared" si="2"/>
        <v>#REF!</v>
      </c>
    </row>
    <row r="30" spans="1:24" ht="31" x14ac:dyDescent="0.45">
      <c r="A30" s="20" t="s">
        <v>24</v>
      </c>
      <c r="B30" s="43">
        <v>1E-4</v>
      </c>
      <c r="C30" s="47">
        <v>1E-4</v>
      </c>
      <c r="E30" s="23" t="s">
        <v>24</v>
      </c>
      <c r="F30" s="24">
        <v>850</v>
      </c>
      <c r="I30" s="18"/>
      <c r="J30" s="18"/>
      <c r="K30" s="18"/>
      <c r="L30" s="37">
        <f t="shared" si="0"/>
        <v>0</v>
      </c>
      <c r="M30" s="18"/>
      <c r="N30" s="18"/>
      <c r="O30" s="37">
        <f t="shared" si="1"/>
        <v>0</v>
      </c>
      <c r="U30" s="20" t="s">
        <v>24</v>
      </c>
      <c r="V30" s="41" t="e">
        <f>анализ!#REF!</f>
        <v>#REF!</v>
      </c>
      <c r="W30" s="41" t="e">
        <f>анализ!#REF!</f>
        <v>#REF!</v>
      </c>
      <c r="X30" s="18" t="e">
        <f t="shared" si="2"/>
        <v>#REF!</v>
      </c>
    </row>
    <row r="31" spans="1:24" ht="18" x14ac:dyDescent="0.35">
      <c r="A31" s="20" t="s">
        <v>25</v>
      </c>
      <c r="B31" s="43">
        <v>0.03</v>
      </c>
      <c r="C31" s="44">
        <v>2.9000000000000001E-2</v>
      </c>
      <c r="E31" s="23" t="s">
        <v>25</v>
      </c>
      <c r="F31" s="24">
        <v>180</v>
      </c>
      <c r="I31" s="18"/>
      <c r="J31" s="18"/>
      <c r="K31" s="18"/>
      <c r="L31" s="37">
        <f t="shared" si="0"/>
        <v>0</v>
      </c>
      <c r="M31" s="18"/>
      <c r="N31" s="18"/>
      <c r="O31" s="37">
        <f t="shared" si="1"/>
        <v>0</v>
      </c>
      <c r="U31" s="20" t="s">
        <v>25</v>
      </c>
      <c r="V31" s="41">
        <f>анализ!F16</f>
        <v>116</v>
      </c>
      <c r="W31" s="41">
        <f>анализ!M16</f>
        <v>116</v>
      </c>
      <c r="X31" s="18">
        <f t="shared" si="2"/>
        <v>0</v>
      </c>
    </row>
    <row r="32" spans="1:24" ht="18" x14ac:dyDescent="0.35">
      <c r="A32" s="20" t="s">
        <v>26</v>
      </c>
      <c r="B32" s="43">
        <v>3.0000000000000001E-3</v>
      </c>
      <c r="C32" s="44">
        <v>2E-3</v>
      </c>
      <c r="E32" s="23" t="s">
        <v>26</v>
      </c>
      <c r="F32" s="24">
        <v>180</v>
      </c>
      <c r="I32" s="18"/>
      <c r="J32" s="18"/>
      <c r="K32" s="18"/>
      <c r="L32" s="37">
        <f t="shared" si="0"/>
        <v>0</v>
      </c>
      <c r="M32" s="18"/>
      <c r="N32" s="18"/>
      <c r="O32" s="37">
        <f t="shared" si="1"/>
        <v>0</v>
      </c>
      <c r="U32" s="20" t="s">
        <v>26</v>
      </c>
      <c r="V32" s="41">
        <f>анализ!F17</f>
        <v>116</v>
      </c>
      <c r="W32" s="41">
        <f>анализ!M17</f>
        <v>116</v>
      </c>
      <c r="X32" s="18">
        <f t="shared" si="2"/>
        <v>0</v>
      </c>
    </row>
    <row r="33" spans="1:24" ht="18" x14ac:dyDescent="0.35">
      <c r="A33" s="20" t="s">
        <v>27</v>
      </c>
      <c r="B33" s="43">
        <v>0</v>
      </c>
      <c r="C33" s="44">
        <v>0</v>
      </c>
      <c r="E33" s="23" t="s">
        <v>27</v>
      </c>
      <c r="F33" s="24">
        <v>0</v>
      </c>
      <c r="I33" s="18"/>
      <c r="J33" s="18"/>
      <c r="K33" s="18"/>
      <c r="L33" s="37">
        <f t="shared" si="0"/>
        <v>0</v>
      </c>
      <c r="M33" s="18"/>
      <c r="N33" s="18"/>
      <c r="O33" s="37">
        <f t="shared" si="1"/>
        <v>0</v>
      </c>
      <c r="U33" s="20" t="s">
        <v>27</v>
      </c>
      <c r="V33" s="41" t="e">
        <f>анализ!#REF!</f>
        <v>#REF!</v>
      </c>
      <c r="W33" s="41" t="e">
        <f>анализ!#REF!</f>
        <v>#REF!</v>
      </c>
      <c r="X33" s="18" t="e">
        <f t="shared" si="2"/>
        <v>#REF!</v>
      </c>
    </row>
    <row r="34" spans="1:24" ht="18" x14ac:dyDescent="0.35">
      <c r="A34" s="20" t="s">
        <v>28</v>
      </c>
      <c r="B34" s="43">
        <v>0</v>
      </c>
      <c r="C34" s="44">
        <v>0</v>
      </c>
      <c r="E34" s="23" t="s">
        <v>28</v>
      </c>
      <c r="F34" s="24">
        <v>0</v>
      </c>
      <c r="I34" s="18"/>
      <c r="J34" s="18"/>
      <c r="K34" s="18"/>
      <c r="L34" s="37">
        <f t="shared" si="0"/>
        <v>0</v>
      </c>
      <c r="M34" s="18"/>
      <c r="N34" s="18"/>
      <c r="O34" s="37">
        <f t="shared" si="1"/>
        <v>0</v>
      </c>
      <c r="U34" s="20" t="s">
        <v>28</v>
      </c>
      <c r="V34" s="41" t="e">
        <f>анализ!#REF!</f>
        <v>#REF!</v>
      </c>
      <c r="W34" s="41" t="e">
        <f>анализ!#REF!</f>
        <v>#REF!</v>
      </c>
      <c r="X34" s="18" t="e">
        <f t="shared" si="2"/>
        <v>#REF!</v>
      </c>
    </row>
    <row r="35" spans="1:24" ht="18.5" x14ac:dyDescent="0.45">
      <c r="A35" s="20" t="s">
        <v>29</v>
      </c>
      <c r="B35" s="43">
        <v>5.0000000000000001E-4</v>
      </c>
      <c r="C35" s="47">
        <v>4.0000000000000002E-4</v>
      </c>
      <c r="E35" s="23" t="s">
        <v>29</v>
      </c>
      <c r="F35" s="24">
        <v>700</v>
      </c>
      <c r="I35" s="18"/>
      <c r="J35" s="18"/>
      <c r="K35" s="18"/>
      <c r="L35" s="37">
        <f t="shared" si="0"/>
        <v>0</v>
      </c>
      <c r="M35" s="18"/>
      <c r="N35" s="18"/>
      <c r="O35" s="37">
        <f t="shared" si="1"/>
        <v>0</v>
      </c>
      <c r="U35" s="20" t="s">
        <v>29</v>
      </c>
      <c r="V35" s="41" t="e">
        <f>анализ!#REF!</f>
        <v>#REF!</v>
      </c>
      <c r="W35" s="41" t="e">
        <f>анализ!#REF!</f>
        <v>#REF!</v>
      </c>
      <c r="X35" s="18" t="e">
        <f t="shared" si="2"/>
        <v>#REF!</v>
      </c>
    </row>
    <row r="36" spans="1:24" ht="31" x14ac:dyDescent="0.45">
      <c r="A36" s="20" t="s">
        <v>30</v>
      </c>
      <c r="B36" s="43">
        <v>1</v>
      </c>
      <c r="C36" s="46">
        <v>1</v>
      </c>
      <c r="E36" s="23" t="s">
        <v>30</v>
      </c>
      <c r="F36" s="24">
        <v>13</v>
      </c>
      <c r="I36" s="18"/>
      <c r="J36" s="18"/>
      <c r="K36" s="18"/>
      <c r="L36" s="37">
        <f t="shared" si="0"/>
        <v>0</v>
      </c>
      <c r="M36" s="18"/>
      <c r="N36" s="18"/>
      <c r="O36" s="37">
        <f t="shared" si="1"/>
        <v>0</v>
      </c>
      <c r="U36" s="20" t="s">
        <v>30</v>
      </c>
      <c r="V36" s="41" t="e">
        <f>анализ!#REF!</f>
        <v>#REF!</v>
      </c>
      <c r="W36" s="41" t="e">
        <f>анализ!#REF!</f>
        <v>#REF!</v>
      </c>
      <c r="X36" s="18" t="e">
        <f t="shared" si="2"/>
        <v>#REF!</v>
      </c>
    </row>
    <row r="37" spans="1:24" ht="18.5" x14ac:dyDescent="0.45">
      <c r="A37" s="20" t="s">
        <v>69</v>
      </c>
      <c r="B37" s="43">
        <v>0.05</v>
      </c>
      <c r="C37" s="46">
        <v>0.05</v>
      </c>
      <c r="E37" s="23" t="s">
        <v>69</v>
      </c>
      <c r="F37" s="24">
        <v>116</v>
      </c>
      <c r="I37" s="18"/>
      <c r="J37" s="18"/>
      <c r="K37" s="18"/>
      <c r="L37" s="37">
        <f t="shared" si="0"/>
        <v>0</v>
      </c>
      <c r="M37" s="18"/>
      <c r="N37" s="18"/>
      <c r="O37" s="37">
        <f t="shared" si="1"/>
        <v>0</v>
      </c>
      <c r="U37" s="20" t="s">
        <v>69</v>
      </c>
      <c r="V37" s="41" t="e">
        <f>анализ!#REF!</f>
        <v>#REF!</v>
      </c>
      <c r="W37" s="41" t="e">
        <f>анализ!#REF!</f>
        <v>#REF!</v>
      </c>
      <c r="X37" s="18" t="e">
        <f t="shared" si="2"/>
        <v>#REF!</v>
      </c>
    </row>
    <row r="38" spans="1:24" ht="18.5" x14ac:dyDescent="0.45">
      <c r="A38" s="20" t="s">
        <v>31</v>
      </c>
      <c r="B38" s="43">
        <v>0.05</v>
      </c>
      <c r="C38" s="46">
        <v>0.05</v>
      </c>
      <c r="E38" s="23" t="s">
        <v>31</v>
      </c>
      <c r="F38" s="24">
        <v>126</v>
      </c>
      <c r="I38" s="18"/>
      <c r="J38" s="18"/>
      <c r="K38" s="18"/>
      <c r="L38" s="37">
        <f t="shared" si="0"/>
        <v>0</v>
      </c>
      <c r="M38" s="18"/>
      <c r="N38" s="18"/>
      <c r="O38" s="37">
        <f t="shared" si="1"/>
        <v>0</v>
      </c>
      <c r="U38" s="20" t="s">
        <v>31</v>
      </c>
      <c r="V38" s="41" t="e">
        <f>анализ!#REF!</f>
        <v>#REF!</v>
      </c>
      <c r="W38" s="41" t="e">
        <f>анализ!#REF!</f>
        <v>#REF!</v>
      </c>
      <c r="X38" s="18" t="e">
        <f t="shared" si="2"/>
        <v>#REF!</v>
      </c>
    </row>
    <row r="39" spans="1:24" ht="18.5" x14ac:dyDescent="0.45">
      <c r="A39" s="20" t="s">
        <v>32</v>
      </c>
      <c r="B39" s="43">
        <v>0.05</v>
      </c>
      <c r="C39" s="46">
        <v>0.05</v>
      </c>
      <c r="E39" s="23" t="s">
        <v>32</v>
      </c>
      <c r="F39" s="24">
        <v>116</v>
      </c>
      <c r="I39" s="18"/>
      <c r="J39" s="18"/>
      <c r="K39" s="18"/>
      <c r="L39" s="37">
        <f t="shared" si="0"/>
        <v>0</v>
      </c>
      <c r="M39" s="18"/>
      <c r="N39" s="18"/>
      <c r="O39" s="37">
        <f t="shared" si="1"/>
        <v>0</v>
      </c>
      <c r="U39" s="20" t="s">
        <v>32</v>
      </c>
      <c r="V39" s="41" t="e">
        <f>анализ!#REF!</f>
        <v>#REF!</v>
      </c>
      <c r="W39" s="41" t="e">
        <f>анализ!#REF!</f>
        <v>#REF!</v>
      </c>
      <c r="X39" s="18" t="e">
        <f t="shared" si="2"/>
        <v>#REF!</v>
      </c>
    </row>
    <row r="40" spans="1:24" ht="18.5" x14ac:dyDescent="0.45">
      <c r="A40" s="20" t="s">
        <v>47</v>
      </c>
      <c r="B40" s="43">
        <v>1.0999999999999999E-2</v>
      </c>
      <c r="C40" s="46">
        <v>8.9999999999999993E-3</v>
      </c>
      <c r="E40" s="23" t="s">
        <v>47</v>
      </c>
      <c r="F40" s="24">
        <v>343</v>
      </c>
      <c r="I40" s="18"/>
      <c r="J40" s="18"/>
      <c r="K40" s="18"/>
      <c r="L40" s="37">
        <f t="shared" si="0"/>
        <v>0</v>
      </c>
      <c r="M40" s="18"/>
      <c r="N40" s="18"/>
      <c r="O40" s="37">
        <f t="shared" si="1"/>
        <v>0</v>
      </c>
      <c r="U40" s="20" t="s">
        <v>47</v>
      </c>
      <c r="V40" s="41" t="e">
        <f>анализ!#REF!</f>
        <v>#REF!</v>
      </c>
      <c r="W40" s="41" t="e">
        <f>анализ!#REF!</f>
        <v>#REF!</v>
      </c>
      <c r="X40" s="18" t="e">
        <f t="shared" si="2"/>
        <v>#REF!</v>
      </c>
    </row>
    <row r="41" spans="1:24" ht="31" x14ac:dyDescent="0.45">
      <c r="A41" s="20" t="s">
        <v>33</v>
      </c>
      <c r="B41" s="43">
        <v>1.2E-2</v>
      </c>
      <c r="C41" s="46">
        <v>8.0000000000000002E-3</v>
      </c>
      <c r="E41" s="23" t="s">
        <v>33</v>
      </c>
      <c r="F41" s="24">
        <v>76</v>
      </c>
      <c r="I41" s="18"/>
      <c r="J41" s="18"/>
      <c r="K41" s="18"/>
      <c r="L41" s="37">
        <f t="shared" si="0"/>
        <v>0</v>
      </c>
      <c r="M41" s="18"/>
      <c r="N41" s="18"/>
      <c r="O41" s="37">
        <f t="shared" si="1"/>
        <v>0</v>
      </c>
      <c r="U41" s="20" t="s">
        <v>33</v>
      </c>
      <c r="V41" s="41">
        <f>анализ!F18</f>
        <v>116</v>
      </c>
      <c r="W41" s="41">
        <f>анализ!M18</f>
        <v>116</v>
      </c>
      <c r="X41" s="18">
        <f t="shared" si="2"/>
        <v>0</v>
      </c>
    </row>
    <row r="42" spans="1:24" ht="31" x14ac:dyDescent="0.35">
      <c r="A42" s="21" t="s">
        <v>34</v>
      </c>
      <c r="B42" s="43">
        <v>0.01</v>
      </c>
      <c r="C42" s="44">
        <v>7.0000000000000001E-3</v>
      </c>
      <c r="E42" s="25" t="s">
        <v>34</v>
      </c>
      <c r="F42" s="24">
        <v>62</v>
      </c>
      <c r="I42" s="18"/>
      <c r="J42" s="18"/>
      <c r="K42" s="18"/>
      <c r="L42" s="37">
        <f t="shared" si="0"/>
        <v>0</v>
      </c>
      <c r="M42" s="18"/>
      <c r="N42" s="18"/>
      <c r="O42" s="37">
        <f t="shared" si="1"/>
        <v>0</v>
      </c>
      <c r="U42" s="21" t="s">
        <v>34</v>
      </c>
      <c r="V42" s="41">
        <f>анализ!F19</f>
        <v>116</v>
      </c>
      <c r="W42" s="41">
        <f>анализ!M19</f>
        <v>116</v>
      </c>
      <c r="X42" s="18">
        <f t="shared" si="2"/>
        <v>0</v>
      </c>
    </row>
    <row r="43" spans="1:24" ht="31" x14ac:dyDescent="0.35">
      <c r="A43" s="21" t="s">
        <v>35</v>
      </c>
      <c r="B43" s="43">
        <v>6.1000000000000004E-3</v>
      </c>
      <c r="C43" s="44">
        <v>5.1000000000000004E-3</v>
      </c>
      <c r="E43" s="25" t="s">
        <v>35</v>
      </c>
      <c r="F43" s="24">
        <v>56</v>
      </c>
      <c r="U43" s="21" t="s">
        <v>35</v>
      </c>
      <c r="V43" s="41">
        <f>анализ!F20</f>
        <v>116</v>
      </c>
      <c r="W43" s="41">
        <f>анализ!M20</f>
        <v>116</v>
      </c>
      <c r="X43" s="18">
        <f t="shared" si="2"/>
        <v>0</v>
      </c>
    </row>
    <row r="44" spans="1:24" ht="31" x14ac:dyDescent="0.35">
      <c r="A44" s="21" t="s">
        <v>36</v>
      </c>
      <c r="B44" s="43">
        <v>2E-3</v>
      </c>
      <c r="C44" s="44">
        <v>2E-3</v>
      </c>
      <c r="E44" s="25" t="s">
        <v>36</v>
      </c>
      <c r="F44" s="24">
        <v>41</v>
      </c>
      <c r="U44" s="21" t="s">
        <v>36</v>
      </c>
      <c r="V44" s="41">
        <f>анализ!F21</f>
        <v>116</v>
      </c>
      <c r="W44" s="41">
        <f>анализ!M21</f>
        <v>116</v>
      </c>
      <c r="X44" s="18">
        <f t="shared" si="2"/>
        <v>0</v>
      </c>
    </row>
    <row r="45" spans="1:24" ht="31" x14ac:dyDescent="0.35">
      <c r="A45" s="21" t="s">
        <v>37</v>
      </c>
      <c r="B45" s="43">
        <v>1.9E-3</v>
      </c>
      <c r="C45" s="44">
        <v>8.9999999999999998E-4</v>
      </c>
      <c r="E45" s="25" t="s">
        <v>37</v>
      </c>
      <c r="F45" s="24">
        <v>36</v>
      </c>
      <c r="U45" s="21" t="s">
        <v>37</v>
      </c>
      <c r="V45" s="41">
        <f>анализ!F22</f>
        <v>116</v>
      </c>
      <c r="W45" s="41">
        <f>анализ!M22</f>
        <v>116</v>
      </c>
      <c r="X45" s="18">
        <f t="shared" si="2"/>
        <v>0</v>
      </c>
    </row>
    <row r="46" spans="1:24" ht="31" x14ac:dyDescent="0.35">
      <c r="A46" s="21" t="s">
        <v>38</v>
      </c>
      <c r="B46" s="43">
        <v>1E-3</v>
      </c>
      <c r="C46" s="44">
        <v>1E-3</v>
      </c>
      <c r="E46" s="25" t="s">
        <v>38</v>
      </c>
      <c r="F46" s="24">
        <v>49</v>
      </c>
      <c r="U46" s="21" t="s">
        <v>38</v>
      </c>
      <c r="V46" s="41">
        <f>анализ!F23</f>
        <v>116</v>
      </c>
      <c r="W46" s="41">
        <f>анализ!M23</f>
        <v>116</v>
      </c>
      <c r="X46" s="18">
        <f t="shared" si="2"/>
        <v>0</v>
      </c>
    </row>
    <row r="47" spans="1:24" ht="31" x14ac:dyDescent="0.35">
      <c r="A47" s="21" t="s">
        <v>39</v>
      </c>
      <c r="B47" s="43">
        <v>4.0000000000000001E-3</v>
      </c>
      <c r="C47" s="44">
        <v>2E-3</v>
      </c>
      <c r="E47" s="25" t="s">
        <v>39</v>
      </c>
      <c r="F47" s="24">
        <v>42</v>
      </c>
      <c r="U47" s="21" t="s">
        <v>39</v>
      </c>
      <c r="V47" s="41">
        <f>анализ!F24</f>
        <v>116</v>
      </c>
      <c r="W47" s="41">
        <f>анализ!M24</f>
        <v>116</v>
      </c>
      <c r="X47" s="18">
        <f t="shared" si="2"/>
        <v>0</v>
      </c>
    </row>
    <row r="48" spans="1:24" ht="46.5" x14ac:dyDescent="0.35">
      <c r="A48" s="21" t="s">
        <v>40</v>
      </c>
      <c r="B48" s="43">
        <v>1.2999999999999999E-2</v>
      </c>
      <c r="C48" s="44">
        <v>8.9999999999999993E-3</v>
      </c>
      <c r="E48" s="25" t="s">
        <v>40</v>
      </c>
      <c r="F48" s="24">
        <v>111</v>
      </c>
      <c r="U48" s="21" t="s">
        <v>40</v>
      </c>
      <c r="V48" s="41">
        <f>анализ!F25</f>
        <v>116</v>
      </c>
      <c r="W48" s="41">
        <f>анализ!M25</f>
        <v>116</v>
      </c>
      <c r="X48" s="18">
        <f t="shared" si="2"/>
        <v>0</v>
      </c>
    </row>
    <row r="49" spans="1:24" ht="46.5" x14ac:dyDescent="0.35">
      <c r="A49" s="21" t="s">
        <v>41</v>
      </c>
      <c r="B49" s="43">
        <v>5.0000000000000001E-3</v>
      </c>
      <c r="C49" s="44">
        <v>3.0000000000000001E-3</v>
      </c>
      <c r="E49" s="25" t="s">
        <v>41</v>
      </c>
      <c r="F49" s="24">
        <v>57</v>
      </c>
      <c r="U49" s="21" t="s">
        <v>41</v>
      </c>
      <c r="V49" s="41">
        <f>анализ!F26</f>
        <v>116</v>
      </c>
      <c r="W49" s="41">
        <f>анализ!M26</f>
        <v>116</v>
      </c>
      <c r="X49" s="18">
        <f t="shared" si="2"/>
        <v>0</v>
      </c>
    </row>
    <row r="50" spans="1:24" ht="18.5" x14ac:dyDescent="0.45">
      <c r="A50" s="20" t="s">
        <v>42</v>
      </c>
      <c r="B50" s="43">
        <v>2.9000000000000001E-2</v>
      </c>
      <c r="C50" s="46">
        <v>2.5000000000000001E-2</v>
      </c>
      <c r="E50" s="23" t="s">
        <v>42</v>
      </c>
      <c r="F50" s="24">
        <v>50</v>
      </c>
      <c r="U50" s="20" t="s">
        <v>42</v>
      </c>
      <c r="V50" s="41">
        <f>анализ!F27</f>
        <v>116</v>
      </c>
      <c r="W50" s="41">
        <f>анализ!M27</f>
        <v>116</v>
      </c>
      <c r="X50" s="18">
        <f t="shared" si="2"/>
        <v>0</v>
      </c>
    </row>
    <row r="51" spans="1:24" ht="46.5" x14ac:dyDescent="0.45">
      <c r="A51" s="20" t="s">
        <v>43</v>
      </c>
      <c r="B51" s="43">
        <v>5.0000000000000001E-3</v>
      </c>
      <c r="C51" s="46">
        <v>3.0000000000000001E-3</v>
      </c>
      <c r="E51" s="23" t="s">
        <v>43</v>
      </c>
      <c r="F51" s="24">
        <v>20</v>
      </c>
      <c r="U51" s="20" t="s">
        <v>43</v>
      </c>
      <c r="V51" s="41">
        <f>анализ!F28</f>
        <v>115.99999999999999</v>
      </c>
      <c r="W51" s="41">
        <f>анализ!M28</f>
        <v>100</v>
      </c>
      <c r="X51" s="18">
        <f t="shared" si="2"/>
        <v>15.999999999999986</v>
      </c>
    </row>
    <row r="52" spans="1:24" ht="18.5" x14ac:dyDescent="0.45">
      <c r="A52" s="20" t="s">
        <v>44</v>
      </c>
      <c r="B52" s="43">
        <v>0.03</v>
      </c>
      <c r="C52" s="46">
        <v>2.5000000000000001E-2</v>
      </c>
      <c r="E52" s="23" t="s">
        <v>44</v>
      </c>
      <c r="F52" s="24">
        <v>78</v>
      </c>
      <c r="U52" s="20" t="s">
        <v>44</v>
      </c>
      <c r="V52" s="41">
        <f>анализ!F29</f>
        <v>116</v>
      </c>
      <c r="W52" s="41">
        <f>анализ!M29</f>
        <v>116</v>
      </c>
      <c r="X52" s="18">
        <f t="shared" si="2"/>
        <v>0</v>
      </c>
    </row>
    <row r="53" spans="1:24" ht="46.5" x14ac:dyDescent="0.45">
      <c r="A53" s="20" t="s">
        <v>45</v>
      </c>
      <c r="B53" s="43">
        <v>1.0999999999999999E-2</v>
      </c>
      <c r="C53" s="46">
        <v>8.9999999999999993E-3</v>
      </c>
      <c r="E53" s="23" t="s">
        <v>45</v>
      </c>
      <c r="F53" s="24">
        <v>150</v>
      </c>
      <c r="U53" s="20" t="s">
        <v>45</v>
      </c>
      <c r="V53" s="41">
        <f>анализ!F30</f>
        <v>115.41818181818184</v>
      </c>
      <c r="W53" s="41">
        <f>анализ!M30</f>
        <v>112.44444444444446</v>
      </c>
      <c r="X53" s="18">
        <f t="shared" si="2"/>
        <v>2.9737373737373787</v>
      </c>
    </row>
    <row r="54" spans="1:24" ht="31" x14ac:dyDescent="0.45">
      <c r="A54" s="20" t="s">
        <v>46</v>
      </c>
      <c r="B54" s="43">
        <v>3.0000000000000001E-3</v>
      </c>
      <c r="C54" s="46">
        <v>2E-3</v>
      </c>
      <c r="E54" s="23" t="s">
        <v>46</v>
      </c>
      <c r="F54" s="24">
        <v>263</v>
      </c>
      <c r="U54" s="20" t="s">
        <v>46</v>
      </c>
      <c r="V54" s="41">
        <f>анализ!F31</f>
        <v>116</v>
      </c>
      <c r="W54" s="41">
        <f>анализ!M31</f>
        <v>116</v>
      </c>
      <c r="X54" s="18">
        <f t="shared" si="2"/>
        <v>0</v>
      </c>
    </row>
    <row r="55" spans="1:24" ht="18" x14ac:dyDescent="0.35">
      <c r="A55" s="20" t="s">
        <v>143</v>
      </c>
      <c r="B55" s="43">
        <v>2.4E-2</v>
      </c>
      <c r="C55" s="48">
        <v>0.02</v>
      </c>
      <c r="E55" s="23" t="s">
        <v>143</v>
      </c>
      <c r="F55" s="58">
        <v>0</v>
      </c>
      <c r="U55" s="20" t="s">
        <v>143</v>
      </c>
      <c r="V55" s="41">
        <f>анализ!F33</f>
        <v>0</v>
      </c>
      <c r="W55" s="41">
        <f>анализ!M33</f>
        <v>0</v>
      </c>
      <c r="X55" s="18">
        <f t="shared" si="2"/>
        <v>0</v>
      </c>
    </row>
    <row r="56" spans="1:24" ht="31" x14ac:dyDescent="0.35">
      <c r="A56" s="20" t="s">
        <v>144</v>
      </c>
      <c r="B56" s="43">
        <v>5.5E-2</v>
      </c>
      <c r="C56" s="48">
        <v>0.05</v>
      </c>
      <c r="E56" s="23" t="s">
        <v>144</v>
      </c>
      <c r="F56" s="58">
        <v>0</v>
      </c>
      <c r="U56" s="20" t="s">
        <v>144</v>
      </c>
      <c r="V56" s="41">
        <f>анализ!F34</f>
        <v>0</v>
      </c>
      <c r="W56" s="41">
        <f>анализ!M34</f>
        <v>0</v>
      </c>
      <c r="X56" s="18">
        <f t="shared" si="2"/>
        <v>0</v>
      </c>
    </row>
    <row r="57" spans="1:24" ht="31" x14ac:dyDescent="0.35">
      <c r="A57" s="20" t="s">
        <v>145</v>
      </c>
      <c r="B57" s="43">
        <v>2.5000000000000001E-2</v>
      </c>
      <c r="C57" s="48">
        <v>0.02</v>
      </c>
      <c r="E57" s="23" t="s">
        <v>145</v>
      </c>
      <c r="F57" s="58">
        <v>0</v>
      </c>
      <c r="U57" s="20" t="s">
        <v>145</v>
      </c>
      <c r="V57" s="41">
        <f>анализ!F35</f>
        <v>0</v>
      </c>
      <c r="W57" s="41">
        <f>анализ!M35</f>
        <v>0</v>
      </c>
      <c r="X57" s="18">
        <f t="shared" si="2"/>
        <v>0</v>
      </c>
    </row>
    <row r="58" spans="1:24" ht="31" x14ac:dyDescent="0.35">
      <c r="A58" s="20" t="s">
        <v>146</v>
      </c>
      <c r="B58" s="43">
        <v>2.1000000000000001E-2</v>
      </c>
      <c r="C58" s="48">
        <v>1.7999999999999999E-2</v>
      </c>
      <c r="E58" s="23" t="s">
        <v>146</v>
      </c>
      <c r="F58" s="58">
        <v>0</v>
      </c>
      <c r="U58" s="20" t="s">
        <v>146</v>
      </c>
      <c r="V58" s="41">
        <f>анализ!F36</f>
        <v>0</v>
      </c>
      <c r="W58" s="41">
        <f>анализ!M36</f>
        <v>0</v>
      </c>
      <c r="X58" s="18">
        <f t="shared" si="2"/>
        <v>0</v>
      </c>
    </row>
    <row r="59" spans="1:24" ht="46.5" x14ac:dyDescent="0.35">
      <c r="A59" s="20" t="s">
        <v>147</v>
      </c>
      <c r="B59" s="43">
        <v>8.0000000000000002E-3</v>
      </c>
      <c r="C59" s="48">
        <v>5.0000000000000001E-3</v>
      </c>
      <c r="E59" s="23" t="s">
        <v>147</v>
      </c>
      <c r="F59" s="58">
        <v>400</v>
      </c>
      <c r="U59" s="20" t="s">
        <v>147</v>
      </c>
      <c r="V59" s="41">
        <f>анализ!F37</f>
        <v>0</v>
      </c>
      <c r="W59" s="41">
        <f>анализ!M37</f>
        <v>0</v>
      </c>
      <c r="X59" s="18">
        <f t="shared" si="2"/>
        <v>0</v>
      </c>
    </row>
    <row r="60" spans="1:24" ht="18" x14ac:dyDescent="0.35">
      <c r="A60" s="20" t="s">
        <v>148</v>
      </c>
      <c r="B60" s="43">
        <v>6.0000000000000001E-3</v>
      </c>
      <c r="C60" s="48">
        <v>4.0000000000000001E-3</v>
      </c>
      <c r="E60" s="23" t="s">
        <v>148</v>
      </c>
      <c r="F60" s="58">
        <v>793</v>
      </c>
      <c r="U60" s="20" t="s">
        <v>148</v>
      </c>
      <c r="V60" s="41">
        <f>анализ!F38</f>
        <v>0</v>
      </c>
      <c r="W60" s="41">
        <f>анализ!M38</f>
        <v>0</v>
      </c>
      <c r="X60" s="18">
        <f t="shared" si="2"/>
        <v>0</v>
      </c>
    </row>
    <row r="61" spans="1:24" ht="18" x14ac:dyDescent="0.35">
      <c r="A61" s="20" t="s">
        <v>149</v>
      </c>
      <c r="B61" s="43">
        <v>0.04</v>
      </c>
      <c r="C61" s="48">
        <v>0.03</v>
      </c>
      <c r="E61" s="23" t="s">
        <v>149</v>
      </c>
      <c r="F61" s="58">
        <v>392</v>
      </c>
      <c r="U61" s="20" t="s">
        <v>149</v>
      </c>
      <c r="V61" s="41">
        <f>анализ!F39</f>
        <v>0</v>
      </c>
      <c r="W61" s="41">
        <f>анализ!M39</f>
        <v>0</v>
      </c>
      <c r="X61" s="18">
        <f t="shared" si="2"/>
        <v>0</v>
      </c>
    </row>
    <row r="62" spans="1:24" ht="18" x14ac:dyDescent="0.35">
      <c r="A62" s="20" t="s">
        <v>150</v>
      </c>
      <c r="B62" s="43">
        <v>0.29199999999999998</v>
      </c>
      <c r="C62" s="48">
        <v>0.23499999999999999</v>
      </c>
      <c r="E62" s="23" t="s">
        <v>150</v>
      </c>
      <c r="F62" s="58">
        <v>84.5</v>
      </c>
      <c r="U62" s="20" t="s">
        <v>150</v>
      </c>
      <c r="V62" s="41">
        <f>анализ!F40</f>
        <v>0</v>
      </c>
      <c r="W62" s="41">
        <f>анализ!M40</f>
        <v>0</v>
      </c>
      <c r="X62" s="18">
        <f t="shared" si="2"/>
        <v>0</v>
      </c>
    </row>
    <row r="63" spans="1:24" ht="18" x14ac:dyDescent="0.35">
      <c r="A63" s="20" t="s">
        <v>151</v>
      </c>
      <c r="B63" s="43">
        <v>6.7000000000000004E-2</v>
      </c>
      <c r="C63" s="48">
        <v>6.4000000000000001E-2</v>
      </c>
      <c r="E63" s="23" t="s">
        <v>151</v>
      </c>
      <c r="F63" s="58">
        <v>127</v>
      </c>
      <c r="U63" s="20" t="s">
        <v>151</v>
      </c>
      <c r="V63" s="41">
        <f>анализ!F41</f>
        <v>0</v>
      </c>
      <c r="W63" s="41">
        <f>анализ!M41</f>
        <v>0</v>
      </c>
      <c r="X63" s="18">
        <f t="shared" si="2"/>
        <v>0</v>
      </c>
    </row>
    <row r="64" spans="1:24" ht="18" x14ac:dyDescent="0.35">
      <c r="A64" s="20" t="s">
        <v>48</v>
      </c>
      <c r="B64" s="43">
        <v>1.6E-2</v>
      </c>
      <c r="C64" s="48">
        <v>1.4999999999999999E-2</v>
      </c>
      <c r="E64" s="23" t="s">
        <v>48</v>
      </c>
      <c r="F64" s="58">
        <v>0</v>
      </c>
      <c r="U64" s="20" t="s">
        <v>48</v>
      </c>
      <c r="V64" s="41">
        <f>анализ!F42</f>
        <v>0</v>
      </c>
      <c r="W64" s="41">
        <f>анализ!M42</f>
        <v>0</v>
      </c>
      <c r="X64" s="18">
        <f t="shared" si="2"/>
        <v>0</v>
      </c>
    </row>
    <row r="65" spans="1:24" ht="31" x14ac:dyDescent="0.35">
      <c r="A65" s="20" t="s">
        <v>49</v>
      </c>
      <c r="B65" s="43">
        <v>1.7999999999999999E-2</v>
      </c>
      <c r="C65" s="48">
        <v>1.4999999999999999E-2</v>
      </c>
      <c r="E65" s="23" t="s">
        <v>49</v>
      </c>
      <c r="F65" s="58">
        <v>0</v>
      </c>
      <c r="U65" s="20" t="s">
        <v>49</v>
      </c>
      <c r="V65" s="41">
        <f>анализ!F43</f>
        <v>0</v>
      </c>
      <c r="W65" s="41">
        <f>анализ!M43</f>
        <v>0</v>
      </c>
      <c r="X65" s="18">
        <f t="shared" si="2"/>
        <v>0</v>
      </c>
    </row>
    <row r="66" spans="1:24" ht="18" x14ac:dyDescent="0.35">
      <c r="A66" s="20" t="s">
        <v>152</v>
      </c>
      <c r="B66" s="43">
        <v>0.1</v>
      </c>
      <c r="C66" s="48">
        <v>0.1</v>
      </c>
      <c r="E66" s="23" t="s">
        <v>152</v>
      </c>
      <c r="F66" s="58">
        <v>65</v>
      </c>
      <c r="U66" s="20" t="s">
        <v>152</v>
      </c>
      <c r="V66" s="41">
        <f>анализ!F44</f>
        <v>0</v>
      </c>
      <c r="W66" s="41">
        <f>анализ!M44</f>
        <v>0</v>
      </c>
      <c r="X66" s="18">
        <f t="shared" si="2"/>
        <v>0</v>
      </c>
    </row>
  </sheetData>
  <mergeCells count="2">
    <mergeCell ref="I4:O4"/>
    <mergeCell ref="V4:X4"/>
  </mergeCells>
  <pageMargins left="0.7" right="0.7" top="0.75" bottom="0.75" header="0.3" footer="0.3"/>
  <pageSetup paperSize="9" scale="4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3:Z45"/>
  <sheetViews>
    <sheetView topLeftCell="I22" zoomScale="84" zoomScaleNormal="84" workbookViewId="0">
      <selection activeCell="A33" sqref="A33:XFD35"/>
    </sheetView>
  </sheetViews>
  <sheetFormatPr defaultColWidth="9.1796875" defaultRowHeight="14.5" x14ac:dyDescent="0.35"/>
  <cols>
    <col min="1" max="1" width="6.453125" style="1" customWidth="1"/>
    <col min="2" max="2" width="24.453125" style="1" customWidth="1"/>
    <col min="3" max="3" width="24.453125" style="1" hidden="1" customWidth="1"/>
    <col min="4" max="4" width="8.453125" style="93" customWidth="1"/>
    <col min="5" max="5" width="16.7265625" style="93" customWidth="1"/>
    <col min="6" max="6" width="20" style="93" customWidth="1"/>
    <col min="7" max="7" width="15.7265625" style="93" customWidth="1"/>
    <col min="8" max="8" width="11.7265625" style="93" customWidth="1"/>
    <col min="9" max="9" width="23.1796875" style="93" customWidth="1"/>
    <col min="10" max="10" width="11.7265625" style="93" hidden="1" customWidth="1"/>
    <col min="11" max="11" width="7.1796875" style="93" hidden="1" customWidth="1"/>
    <col min="12" max="12" width="11.7265625" style="93" customWidth="1"/>
    <col min="13" max="13" width="19.1796875" style="93" customWidth="1"/>
    <col min="14" max="14" width="12.7265625" style="93" customWidth="1"/>
    <col min="15" max="15" width="11" style="93" customWidth="1"/>
    <col min="16" max="16" width="17.81640625" style="93" hidden="1" customWidth="1"/>
    <col min="17" max="17" width="18.1796875" style="93" hidden="1" customWidth="1"/>
    <col min="18" max="18" width="11" style="93" hidden="1" customWidth="1"/>
    <col min="19" max="19" width="11" style="93" customWidth="1"/>
    <col min="20" max="20" width="18" style="93" customWidth="1"/>
    <col min="21" max="21" width="13.453125" style="93" customWidth="1"/>
    <col min="22" max="22" width="23.1796875" style="93" customWidth="1"/>
    <col min="23" max="23" width="9.1796875" style="93"/>
    <col min="24" max="24" width="19.453125" style="93" customWidth="1"/>
    <col min="25" max="25" width="16.453125" style="1" bestFit="1" customWidth="1"/>
    <col min="26" max="26" width="10.1796875" style="1" bestFit="1" customWidth="1"/>
    <col min="27" max="16384" width="9.1796875" style="1"/>
  </cols>
  <sheetData>
    <row r="3" spans="1:26" s="12" customFormat="1" ht="17.5" x14ac:dyDescent="0.35">
      <c r="B3" s="145" t="s">
        <v>52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6" s="12" customFormat="1" ht="17.5" customHeight="1" x14ac:dyDescent="0.35">
      <c r="B4" s="148" t="str">
        <f>Данные!Z2</f>
        <v>МДОУ "Детский сад  № 138"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26" s="12" customFormat="1" ht="18" customHeight="1" x14ac:dyDescent="0.35">
      <c r="A5" s="13"/>
      <c r="B5" s="149" t="str">
        <f>Данные!AA2</f>
        <v xml:space="preserve"> с 09.01.2025 по 30.06.2025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</row>
    <row r="6" spans="1:26" s="5" customFormat="1" ht="23.5" x14ac:dyDescent="0.55000000000000004">
      <c r="B6" s="11"/>
      <c r="C6" s="11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1:26" s="8" customFormat="1" ht="126" customHeight="1" x14ac:dyDescent="0.45">
      <c r="A7" s="27" t="s">
        <v>9</v>
      </c>
      <c r="B7" s="27" t="s">
        <v>8</v>
      </c>
      <c r="C7" s="26"/>
      <c r="D7" s="88" t="s">
        <v>72</v>
      </c>
      <c r="E7" s="101" t="s">
        <v>7</v>
      </c>
      <c r="F7" s="42" t="s">
        <v>78</v>
      </c>
      <c r="G7" s="102" t="s">
        <v>6</v>
      </c>
      <c r="H7" s="102" t="s">
        <v>5</v>
      </c>
      <c r="I7" s="102" t="s">
        <v>71</v>
      </c>
      <c r="J7" s="102" t="s">
        <v>73</v>
      </c>
      <c r="K7" s="102" t="s">
        <v>74</v>
      </c>
      <c r="L7" s="102" t="s">
        <v>75</v>
      </c>
      <c r="M7" s="42" t="s">
        <v>79</v>
      </c>
      <c r="N7" s="102" t="s">
        <v>4</v>
      </c>
      <c r="O7" s="102" t="s">
        <v>3</v>
      </c>
      <c r="P7" s="102" t="s">
        <v>76</v>
      </c>
      <c r="Q7" s="102" t="s">
        <v>73</v>
      </c>
      <c r="R7" s="102" t="s">
        <v>74</v>
      </c>
      <c r="S7" s="102" t="s">
        <v>77</v>
      </c>
      <c r="T7" s="102" t="s">
        <v>2</v>
      </c>
      <c r="U7" s="102" t="s">
        <v>53</v>
      </c>
      <c r="V7" s="102" t="s">
        <v>54</v>
      </c>
      <c r="W7" s="102" t="s">
        <v>1</v>
      </c>
      <c r="X7" s="102" t="s">
        <v>0</v>
      </c>
    </row>
    <row r="8" spans="1:26" s="8" customFormat="1" ht="22.9" customHeight="1" x14ac:dyDescent="0.45">
      <c r="A8" s="97">
        <v>1</v>
      </c>
      <c r="B8" s="98" t="s">
        <v>55</v>
      </c>
      <c r="C8" s="99">
        <f>V8</f>
        <v>469.1</v>
      </c>
      <c r="D8" s="103"/>
      <c r="E8" s="104">
        <f>Данные!$C$2</f>
        <v>116</v>
      </c>
      <c r="F8" s="132">
        <f>E8</f>
        <v>116</v>
      </c>
      <c r="G8" s="104">
        <f>Данные!$A$2</f>
        <v>50</v>
      </c>
      <c r="H8" s="105">
        <f>Данные!B6</f>
        <v>5.8999999999999997E-2</v>
      </c>
      <c r="I8" s="105">
        <f t="shared" ref="I8:I17" si="0">H8*G8*E8</f>
        <v>342.2</v>
      </c>
      <c r="J8" s="105" t="e">
        <f>INT(I8/D8)</f>
        <v>#DIV/0!</v>
      </c>
      <c r="K8" s="105" t="e">
        <f>J8*D8</f>
        <v>#DIV/0!</v>
      </c>
      <c r="L8" s="105">
        <f>ROUND(F8*G8*H8,2)</f>
        <v>342.2</v>
      </c>
      <c r="M8" s="134">
        <f>E8</f>
        <v>116</v>
      </c>
      <c r="N8" s="104">
        <f>Данные!$B$2</f>
        <v>10</v>
      </c>
      <c r="O8" s="106">
        <f>Данные!C6</f>
        <v>4.2000000000000003E-2</v>
      </c>
      <c r="P8" s="107">
        <f>O8*N8*F8</f>
        <v>48.720000000000006</v>
      </c>
      <c r="Q8" s="107" t="e">
        <f>INT(P8/D8)</f>
        <v>#DIV/0!</v>
      </c>
      <c r="R8" s="107" t="e">
        <f>Q8*D8</f>
        <v>#DIV/0!</v>
      </c>
      <c r="S8" s="107">
        <f>ROUND(M8*N8*O8,2)</f>
        <v>48.72</v>
      </c>
      <c r="T8" s="108">
        <f>ROUND(E8*G8*H8+E8*N8*O8,2)</f>
        <v>390.92</v>
      </c>
      <c r="U8" s="109">
        <v>20</v>
      </c>
      <c r="V8" s="110">
        <f>ROUND(T8*120/100,2)</f>
        <v>469.1</v>
      </c>
      <c r="W8" s="111">
        <f>Данные!F6</f>
        <v>59</v>
      </c>
      <c r="X8" s="112">
        <f>V8*W8</f>
        <v>27676.9</v>
      </c>
      <c r="Y8" s="28"/>
      <c r="Z8" s="29"/>
    </row>
    <row r="9" spans="1:26" s="8" customFormat="1" ht="22.9" customHeight="1" x14ac:dyDescent="0.45">
      <c r="A9" s="97">
        <v>2</v>
      </c>
      <c r="B9" s="98" t="s">
        <v>56</v>
      </c>
      <c r="C9" s="99">
        <f t="shared" ref="C9:C32" si="1">V9</f>
        <v>390.22</v>
      </c>
      <c r="D9" s="103"/>
      <c r="E9" s="104">
        <f>Данные!$C$2</f>
        <v>116</v>
      </c>
      <c r="F9" s="132">
        <f t="shared" ref="F9:F11" si="2">E9</f>
        <v>116</v>
      </c>
      <c r="G9" s="104">
        <f>Данные!$A$2</f>
        <v>50</v>
      </c>
      <c r="H9" s="105">
        <f>Данные!B7</f>
        <v>0.05</v>
      </c>
      <c r="I9" s="105">
        <f t="shared" si="0"/>
        <v>290</v>
      </c>
      <c r="J9" s="105" t="e">
        <f t="shared" ref="J9:J32" si="3">INT(I9/D9)</f>
        <v>#DIV/0!</v>
      </c>
      <c r="K9" s="105" t="e">
        <f t="shared" ref="K9:K32" si="4">J9*D9</f>
        <v>#DIV/0!</v>
      </c>
      <c r="L9" s="105">
        <f t="shared" ref="L9:L32" si="5">ROUND(F9*G9*H9,2)</f>
        <v>290</v>
      </c>
      <c r="M9" s="134">
        <f t="shared" ref="M9:M11" si="6">E9</f>
        <v>116</v>
      </c>
      <c r="N9" s="104">
        <f>Данные!$B$2</f>
        <v>10</v>
      </c>
      <c r="O9" s="106">
        <f>Данные!C7</f>
        <v>0.04</v>
      </c>
      <c r="P9" s="107">
        <f t="shared" ref="P9:P32" si="7">O9*N9*F9</f>
        <v>46.400000000000006</v>
      </c>
      <c r="Q9" s="107" t="e">
        <f t="shared" ref="Q9:Q32" si="8">INT(P9/D9)</f>
        <v>#DIV/0!</v>
      </c>
      <c r="R9" s="107" t="e">
        <f t="shared" ref="R9:R32" si="9">Q9*D9</f>
        <v>#DIV/0!</v>
      </c>
      <c r="S9" s="107">
        <f t="shared" ref="S9:S32" si="10">ROUND(M9*N9*O9,2)</f>
        <v>46.4</v>
      </c>
      <c r="T9" s="108">
        <f>ROUND(E9*G9*H9+E9*N9*O9,2)</f>
        <v>336.4</v>
      </c>
      <c r="U9" s="109">
        <v>16</v>
      </c>
      <c r="V9" s="110">
        <f>ROUND(T9*116/100,2)</f>
        <v>390.22</v>
      </c>
      <c r="W9" s="111">
        <f>Данные!F7</f>
        <v>52</v>
      </c>
      <c r="X9" s="112">
        <f t="shared" ref="X9:X32" si="11">V9*W9</f>
        <v>20291.440000000002</v>
      </c>
      <c r="Y9" s="28"/>
      <c r="Z9" s="29"/>
    </row>
    <row r="10" spans="1:26" s="8" customFormat="1" ht="22.9" customHeight="1" x14ac:dyDescent="0.45">
      <c r="A10" s="97">
        <v>3</v>
      </c>
      <c r="B10" s="98" t="s">
        <v>57</v>
      </c>
      <c r="C10" s="99">
        <f t="shared" si="1"/>
        <v>406.46</v>
      </c>
      <c r="D10" s="103"/>
      <c r="E10" s="104">
        <f>Данные!$C$2</f>
        <v>116</v>
      </c>
      <c r="F10" s="132">
        <f t="shared" si="2"/>
        <v>116</v>
      </c>
      <c r="G10" s="104">
        <f>Данные!$A$2</f>
        <v>50</v>
      </c>
      <c r="H10" s="105">
        <f>Данные!B8</f>
        <v>0.05</v>
      </c>
      <c r="I10" s="105">
        <f t="shared" si="0"/>
        <v>290</v>
      </c>
      <c r="J10" s="105" t="e">
        <f t="shared" si="3"/>
        <v>#DIV/0!</v>
      </c>
      <c r="K10" s="105" t="e">
        <f t="shared" si="4"/>
        <v>#DIV/0!</v>
      </c>
      <c r="L10" s="105">
        <f t="shared" si="5"/>
        <v>290</v>
      </c>
      <c r="M10" s="134">
        <f t="shared" si="6"/>
        <v>116</v>
      </c>
      <c r="N10" s="104">
        <f>Данные!$B$2</f>
        <v>10</v>
      </c>
      <c r="O10" s="106">
        <f>Данные!C8</f>
        <v>4.2000000000000003E-2</v>
      </c>
      <c r="P10" s="107">
        <f t="shared" si="7"/>
        <v>48.720000000000006</v>
      </c>
      <c r="Q10" s="107" t="e">
        <f t="shared" si="8"/>
        <v>#DIV/0!</v>
      </c>
      <c r="R10" s="107" t="e">
        <f t="shared" si="9"/>
        <v>#DIV/0!</v>
      </c>
      <c r="S10" s="107">
        <f t="shared" si="10"/>
        <v>48.72</v>
      </c>
      <c r="T10" s="108">
        <f>ROUND(E10*G10*H10+E10*N10*O10,2)</f>
        <v>338.72</v>
      </c>
      <c r="U10" s="109">
        <v>20</v>
      </c>
      <c r="V10" s="110">
        <f>ROUND(T10*120/100,2)</f>
        <v>406.46</v>
      </c>
      <c r="W10" s="111">
        <f>Данные!F8</f>
        <v>61</v>
      </c>
      <c r="X10" s="112">
        <f t="shared" si="11"/>
        <v>24794.059999999998</v>
      </c>
      <c r="Y10" s="28"/>
      <c r="Z10" s="29"/>
    </row>
    <row r="11" spans="1:26" s="8" customFormat="1" ht="22.9" customHeight="1" x14ac:dyDescent="0.45">
      <c r="A11" s="97">
        <v>4</v>
      </c>
      <c r="B11" s="98" t="s">
        <v>58</v>
      </c>
      <c r="C11" s="99">
        <f t="shared" si="1"/>
        <v>233.86</v>
      </c>
      <c r="D11" s="103"/>
      <c r="E11" s="104">
        <f>Данные!$C$2</f>
        <v>116</v>
      </c>
      <c r="F11" s="132">
        <f t="shared" si="2"/>
        <v>116</v>
      </c>
      <c r="G11" s="104">
        <f>Данные!$A$2</f>
        <v>50</v>
      </c>
      <c r="H11" s="105">
        <f>Данные!B9</f>
        <v>2.8000000000000001E-2</v>
      </c>
      <c r="I11" s="105">
        <f t="shared" si="0"/>
        <v>162.4</v>
      </c>
      <c r="J11" s="105" t="e">
        <f t="shared" si="3"/>
        <v>#DIV/0!</v>
      </c>
      <c r="K11" s="105" t="e">
        <f t="shared" si="4"/>
        <v>#DIV/0!</v>
      </c>
      <c r="L11" s="105">
        <f t="shared" si="5"/>
        <v>162.4</v>
      </c>
      <c r="M11" s="134">
        <f t="shared" si="6"/>
        <v>116</v>
      </c>
      <c r="N11" s="104">
        <f>Данные!$B$2</f>
        <v>10</v>
      </c>
      <c r="O11" s="106">
        <f>Данные!C9</f>
        <v>2.8000000000000001E-2</v>
      </c>
      <c r="P11" s="107">
        <f t="shared" si="7"/>
        <v>32.480000000000004</v>
      </c>
      <c r="Q11" s="107" t="e">
        <f t="shared" si="8"/>
        <v>#DIV/0!</v>
      </c>
      <c r="R11" s="107" t="e">
        <f t="shared" si="9"/>
        <v>#DIV/0!</v>
      </c>
      <c r="S11" s="107">
        <f t="shared" si="10"/>
        <v>32.479999999999997</v>
      </c>
      <c r="T11" s="108">
        <f>ROUND(E11*G11*H11+E11*N11*O11,2)</f>
        <v>194.88</v>
      </c>
      <c r="U11" s="109">
        <v>20</v>
      </c>
      <c r="V11" s="110">
        <f>ROUND(T11*120/100,2)</f>
        <v>233.86</v>
      </c>
      <c r="W11" s="111">
        <f>Данные!F9</f>
        <v>56</v>
      </c>
      <c r="X11" s="112">
        <f t="shared" si="11"/>
        <v>13096.16</v>
      </c>
      <c r="Y11" s="28"/>
      <c r="Z11" s="29"/>
    </row>
    <row r="12" spans="1:26" s="8" customFormat="1" ht="22.9" customHeight="1" x14ac:dyDescent="0.45">
      <c r="A12" s="97">
        <v>9</v>
      </c>
      <c r="B12" s="98" t="s">
        <v>63</v>
      </c>
      <c r="C12" s="99">
        <f t="shared" si="1"/>
        <v>1217.54</v>
      </c>
      <c r="D12" s="103"/>
      <c r="E12" s="104">
        <f>Данные!$C$2</f>
        <v>116</v>
      </c>
      <c r="F12" s="132">
        <f>E12</f>
        <v>116</v>
      </c>
      <c r="G12" s="104">
        <f>Данные!$A$2</f>
        <v>50</v>
      </c>
      <c r="H12" s="105">
        <f>Данные!B14</f>
        <v>0.14000000000000001</v>
      </c>
      <c r="I12" s="105">
        <f t="shared" si="0"/>
        <v>812.00000000000011</v>
      </c>
      <c r="J12" s="105" t="e">
        <f t="shared" si="3"/>
        <v>#DIV/0!</v>
      </c>
      <c r="K12" s="105" t="e">
        <f t="shared" si="4"/>
        <v>#DIV/0!</v>
      </c>
      <c r="L12" s="105">
        <f t="shared" si="5"/>
        <v>812</v>
      </c>
      <c r="M12" s="134">
        <f>E12</f>
        <v>116</v>
      </c>
      <c r="N12" s="104">
        <f>Данные!$B$2</f>
        <v>10</v>
      </c>
      <c r="O12" s="89">
        <f>Данные!C14</f>
        <v>0.12</v>
      </c>
      <c r="P12" s="107">
        <f t="shared" si="7"/>
        <v>139.19999999999999</v>
      </c>
      <c r="Q12" s="107" t="e">
        <f t="shared" si="8"/>
        <v>#DIV/0!</v>
      </c>
      <c r="R12" s="107" t="e">
        <f t="shared" si="9"/>
        <v>#DIV/0!</v>
      </c>
      <c r="S12" s="107">
        <f>ROUND(M12*N12*O12,2)</f>
        <v>139.19999999999999</v>
      </c>
      <c r="T12" s="108">
        <f>ROUND(E12*G12*H12+E12*N12*O12,2)</f>
        <v>951.2</v>
      </c>
      <c r="U12" s="109">
        <v>28</v>
      </c>
      <c r="V12" s="110">
        <f>ROUND(T12*128/100,2)</f>
        <v>1217.54</v>
      </c>
      <c r="W12" s="111">
        <f>Данные!F14</f>
        <v>49</v>
      </c>
      <c r="X12" s="112">
        <f t="shared" si="11"/>
        <v>59659.46</v>
      </c>
      <c r="Y12" s="28"/>
      <c r="Z12" s="29"/>
    </row>
    <row r="13" spans="1:26" s="8" customFormat="1" ht="24" customHeight="1" x14ac:dyDescent="0.45">
      <c r="A13" s="97">
        <v>10</v>
      </c>
      <c r="B13" s="97" t="s">
        <v>10</v>
      </c>
      <c r="C13" s="99">
        <f t="shared" si="1"/>
        <v>208.45</v>
      </c>
      <c r="D13" s="133">
        <v>0.55000000000000004</v>
      </c>
      <c r="E13" s="104">
        <f>Данные!$C$2</f>
        <v>116</v>
      </c>
      <c r="F13" s="132">
        <f t="shared" ref="F13:F15" si="12">K13/G13/H13</f>
        <v>115.86666666666669</v>
      </c>
      <c r="G13" s="104">
        <f>Данные!$A$2</f>
        <v>50</v>
      </c>
      <c r="H13" s="105">
        <f>Данные!B15</f>
        <v>0.03</v>
      </c>
      <c r="I13" s="105">
        <f t="shared" si="0"/>
        <v>174</v>
      </c>
      <c r="J13" s="105">
        <f t="shared" si="3"/>
        <v>316</v>
      </c>
      <c r="K13" s="105">
        <f t="shared" si="4"/>
        <v>173.8</v>
      </c>
      <c r="L13" s="105">
        <f t="shared" si="5"/>
        <v>173.8</v>
      </c>
      <c r="M13" s="134">
        <f t="shared" ref="M13:M15" si="13">R13/N13/O13</f>
        <v>115.50000000000003</v>
      </c>
      <c r="N13" s="104">
        <f>Данные!$B$2</f>
        <v>10</v>
      </c>
      <c r="O13" s="108">
        <f>Данные!C15</f>
        <v>0.03</v>
      </c>
      <c r="P13" s="107">
        <f t="shared" si="7"/>
        <v>34.760000000000005</v>
      </c>
      <c r="Q13" s="107">
        <f t="shared" si="8"/>
        <v>63</v>
      </c>
      <c r="R13" s="107">
        <f t="shared" si="9"/>
        <v>34.650000000000006</v>
      </c>
      <c r="S13" s="107">
        <f t="shared" si="10"/>
        <v>34.65</v>
      </c>
      <c r="T13" s="114">
        <f>S13+L13</f>
        <v>208.45000000000002</v>
      </c>
      <c r="U13" s="114"/>
      <c r="V13" s="112">
        <f>ROUND(T13,2)</f>
        <v>208.45</v>
      </c>
      <c r="W13" s="111">
        <f>Данные!F15</f>
        <v>84.9</v>
      </c>
      <c r="X13" s="112">
        <f t="shared" si="11"/>
        <v>17697.404999999999</v>
      </c>
      <c r="Y13" s="28"/>
      <c r="Z13" s="29"/>
    </row>
    <row r="14" spans="1:26" s="8" customFormat="1" ht="18.5" x14ac:dyDescent="0.45">
      <c r="A14" s="97">
        <v>11</v>
      </c>
      <c r="B14" s="97" t="s">
        <v>11</v>
      </c>
      <c r="C14" s="99">
        <f t="shared" si="1"/>
        <v>324.3</v>
      </c>
      <c r="D14" s="133">
        <v>0.3</v>
      </c>
      <c r="E14" s="104">
        <f>Данные!$C$2</f>
        <v>116</v>
      </c>
      <c r="F14" s="132">
        <f t="shared" si="12"/>
        <v>115.92</v>
      </c>
      <c r="G14" s="104">
        <f>Данные!$A$2</f>
        <v>50</v>
      </c>
      <c r="H14" s="105">
        <f>Данные!B16</f>
        <v>0.05</v>
      </c>
      <c r="I14" s="105">
        <f t="shared" si="0"/>
        <v>290</v>
      </c>
      <c r="J14" s="105">
        <f t="shared" si="3"/>
        <v>966</v>
      </c>
      <c r="K14" s="105">
        <f t="shared" si="4"/>
        <v>289.8</v>
      </c>
      <c r="L14" s="105">
        <f t="shared" si="5"/>
        <v>289.8</v>
      </c>
      <c r="M14" s="134">
        <f t="shared" si="13"/>
        <v>115.00000000000001</v>
      </c>
      <c r="N14" s="104">
        <f>Данные!$B$2</f>
        <v>10</v>
      </c>
      <c r="O14" s="108">
        <f>Данные!C16</f>
        <v>0.03</v>
      </c>
      <c r="P14" s="107">
        <f t="shared" si="7"/>
        <v>34.775999999999996</v>
      </c>
      <c r="Q14" s="107">
        <f t="shared" si="8"/>
        <v>115</v>
      </c>
      <c r="R14" s="107">
        <f t="shared" si="9"/>
        <v>34.5</v>
      </c>
      <c r="S14" s="107">
        <f t="shared" si="10"/>
        <v>34.5</v>
      </c>
      <c r="T14" s="114">
        <f t="shared" ref="T14:T15" si="14">S14+L14</f>
        <v>324.3</v>
      </c>
      <c r="U14" s="114"/>
      <c r="V14" s="112">
        <f t="shared" ref="V14:V32" si="15">ROUND(T14,2)</f>
        <v>324.3</v>
      </c>
      <c r="W14" s="111">
        <f>Данные!F16</f>
        <v>95</v>
      </c>
      <c r="X14" s="112">
        <f t="shared" si="11"/>
        <v>30808.5</v>
      </c>
      <c r="Y14" s="28"/>
      <c r="Z14" s="29"/>
    </row>
    <row r="15" spans="1:26" s="8" customFormat="1" ht="18.5" x14ac:dyDescent="0.45">
      <c r="A15" s="97">
        <v>12</v>
      </c>
      <c r="B15" s="97" t="s">
        <v>12</v>
      </c>
      <c r="C15" s="99">
        <f t="shared" si="1"/>
        <v>335.92</v>
      </c>
      <c r="D15" s="133">
        <v>0.68</v>
      </c>
      <c r="E15" s="104">
        <f>Данные!$C$2</f>
        <v>116</v>
      </c>
      <c r="F15" s="132">
        <f t="shared" si="12"/>
        <v>115.872</v>
      </c>
      <c r="G15" s="104">
        <f>Данные!$A$2</f>
        <v>50</v>
      </c>
      <c r="H15" s="105">
        <f>Данные!B17</f>
        <v>0.05</v>
      </c>
      <c r="I15" s="105">
        <f t="shared" si="0"/>
        <v>290</v>
      </c>
      <c r="J15" s="105">
        <f t="shared" si="3"/>
        <v>426</v>
      </c>
      <c r="K15" s="105">
        <f t="shared" si="4"/>
        <v>289.68</v>
      </c>
      <c r="L15" s="105">
        <f t="shared" si="5"/>
        <v>289.68</v>
      </c>
      <c r="M15" s="134">
        <f t="shared" si="13"/>
        <v>115.60000000000001</v>
      </c>
      <c r="N15" s="104">
        <f>Данные!$B$2</f>
        <v>10</v>
      </c>
      <c r="O15" s="108">
        <f>Данные!C17</f>
        <v>0.04</v>
      </c>
      <c r="P15" s="107">
        <f t="shared" si="7"/>
        <v>46.348800000000004</v>
      </c>
      <c r="Q15" s="107">
        <f t="shared" si="8"/>
        <v>68</v>
      </c>
      <c r="R15" s="107">
        <f t="shared" si="9"/>
        <v>46.24</v>
      </c>
      <c r="S15" s="107">
        <f t="shared" si="10"/>
        <v>46.24</v>
      </c>
      <c r="T15" s="114">
        <f t="shared" si="14"/>
        <v>335.92</v>
      </c>
      <c r="U15" s="114"/>
      <c r="V15" s="112">
        <f t="shared" si="15"/>
        <v>335.92</v>
      </c>
      <c r="W15" s="111">
        <f>Данные!F17</f>
        <v>64</v>
      </c>
      <c r="X15" s="112">
        <f t="shared" si="11"/>
        <v>21498.880000000001</v>
      </c>
      <c r="Y15" s="28"/>
      <c r="Z15" s="29"/>
    </row>
    <row r="16" spans="1:26" s="8" customFormat="1" ht="18.5" x14ac:dyDescent="0.45">
      <c r="A16" s="97">
        <v>26</v>
      </c>
      <c r="B16" s="97" t="s">
        <v>25</v>
      </c>
      <c r="C16" s="99">
        <f t="shared" si="1"/>
        <v>207.64</v>
      </c>
      <c r="D16" s="113"/>
      <c r="E16" s="104">
        <f>Данные!$C$2</f>
        <v>116</v>
      </c>
      <c r="F16" s="132">
        <f>E16</f>
        <v>116</v>
      </c>
      <c r="G16" s="104">
        <f>Данные!$A$2</f>
        <v>50</v>
      </c>
      <c r="H16" s="105">
        <f>Данные!B31</f>
        <v>0.03</v>
      </c>
      <c r="I16" s="105">
        <f t="shared" si="0"/>
        <v>174</v>
      </c>
      <c r="J16" s="105" t="e">
        <f t="shared" si="3"/>
        <v>#DIV/0!</v>
      </c>
      <c r="K16" s="105" t="e">
        <f t="shared" si="4"/>
        <v>#DIV/0!</v>
      </c>
      <c r="L16" s="105">
        <f t="shared" si="5"/>
        <v>174</v>
      </c>
      <c r="M16" s="134">
        <f>E16</f>
        <v>116</v>
      </c>
      <c r="N16" s="104">
        <f>Данные!$B$2</f>
        <v>10</v>
      </c>
      <c r="O16" s="106">
        <f>Данные!C31</f>
        <v>2.9000000000000001E-2</v>
      </c>
      <c r="P16" s="107">
        <f t="shared" si="7"/>
        <v>33.64</v>
      </c>
      <c r="Q16" s="107" t="e">
        <f t="shared" si="8"/>
        <v>#DIV/0!</v>
      </c>
      <c r="R16" s="107" t="e">
        <f t="shared" si="9"/>
        <v>#DIV/0!</v>
      </c>
      <c r="S16" s="107">
        <f t="shared" si="10"/>
        <v>33.64</v>
      </c>
      <c r="T16" s="114">
        <f>ROUND(E16*G16*H16+E16*N16*O16,2)</f>
        <v>207.64</v>
      </c>
      <c r="U16" s="114"/>
      <c r="V16" s="112">
        <f t="shared" si="15"/>
        <v>207.64</v>
      </c>
      <c r="W16" s="111">
        <f>Данные!F31</f>
        <v>180</v>
      </c>
      <c r="X16" s="112">
        <f t="shared" si="11"/>
        <v>37375.199999999997</v>
      </c>
      <c r="Y16" s="28"/>
      <c r="Z16" s="29"/>
    </row>
    <row r="17" spans="1:26" s="8" customFormat="1" ht="18.5" x14ac:dyDescent="0.45">
      <c r="A17" s="97">
        <v>27</v>
      </c>
      <c r="B17" s="97" t="s">
        <v>26</v>
      </c>
      <c r="C17" s="99">
        <f t="shared" si="1"/>
        <v>19.72</v>
      </c>
      <c r="D17" s="113"/>
      <c r="E17" s="104">
        <f>Данные!$C$2</f>
        <v>116</v>
      </c>
      <c r="F17" s="132">
        <f t="shared" ref="F17" si="16">E17</f>
        <v>116</v>
      </c>
      <c r="G17" s="104">
        <f>Данные!$A$2</f>
        <v>50</v>
      </c>
      <c r="H17" s="105">
        <f>Данные!B32</f>
        <v>3.0000000000000001E-3</v>
      </c>
      <c r="I17" s="105">
        <f t="shared" si="0"/>
        <v>17.399999999999999</v>
      </c>
      <c r="J17" s="105" t="e">
        <f t="shared" si="3"/>
        <v>#DIV/0!</v>
      </c>
      <c r="K17" s="105" t="e">
        <f t="shared" si="4"/>
        <v>#DIV/0!</v>
      </c>
      <c r="L17" s="105">
        <f t="shared" si="5"/>
        <v>17.399999999999999</v>
      </c>
      <c r="M17" s="134">
        <f t="shared" ref="M17" si="17">E17</f>
        <v>116</v>
      </c>
      <c r="N17" s="104">
        <f>Данные!$B$2</f>
        <v>10</v>
      </c>
      <c r="O17" s="106">
        <f>Данные!C32</f>
        <v>2E-3</v>
      </c>
      <c r="P17" s="107">
        <f t="shared" si="7"/>
        <v>2.3199999999999998</v>
      </c>
      <c r="Q17" s="107" t="e">
        <f t="shared" si="8"/>
        <v>#DIV/0!</v>
      </c>
      <c r="R17" s="107" t="e">
        <f t="shared" si="9"/>
        <v>#DIV/0!</v>
      </c>
      <c r="S17" s="107">
        <f t="shared" si="10"/>
        <v>2.3199999999999998</v>
      </c>
      <c r="T17" s="114">
        <f>ROUND(E17*G17*H17+E17*N17*O17,2)</f>
        <v>19.72</v>
      </c>
      <c r="U17" s="114"/>
      <c r="V17" s="112">
        <f t="shared" si="15"/>
        <v>19.72</v>
      </c>
      <c r="W17" s="111">
        <f>Данные!F32</f>
        <v>180</v>
      </c>
      <c r="X17" s="112">
        <f t="shared" si="11"/>
        <v>3549.6</v>
      </c>
      <c r="Y17" s="28"/>
      <c r="Z17" s="29"/>
    </row>
    <row r="18" spans="1:26" s="8" customFormat="1" ht="18.5" x14ac:dyDescent="0.45">
      <c r="A18" s="97">
        <v>36</v>
      </c>
      <c r="B18" s="97" t="s">
        <v>33</v>
      </c>
      <c r="C18" s="99">
        <f t="shared" si="1"/>
        <v>78.88</v>
      </c>
      <c r="D18" s="113"/>
      <c r="E18" s="104">
        <f>Данные!$C$2</f>
        <v>116</v>
      </c>
      <c r="F18" s="132">
        <f>E18</f>
        <v>116</v>
      </c>
      <c r="G18" s="104">
        <f>Данные!$A$2</f>
        <v>50</v>
      </c>
      <c r="H18" s="105">
        <f>Данные!B41</f>
        <v>1.2E-2</v>
      </c>
      <c r="I18" s="105">
        <f t="shared" ref="I18:I32" si="18">H18*G18*E18</f>
        <v>69.599999999999994</v>
      </c>
      <c r="J18" s="105" t="e">
        <f t="shared" si="3"/>
        <v>#DIV/0!</v>
      </c>
      <c r="K18" s="105" t="e">
        <f t="shared" si="4"/>
        <v>#DIV/0!</v>
      </c>
      <c r="L18" s="105">
        <f t="shared" si="5"/>
        <v>69.599999999999994</v>
      </c>
      <c r="M18" s="134">
        <f>E18</f>
        <v>116</v>
      </c>
      <c r="N18" s="104">
        <f>Данные!$B$2</f>
        <v>10</v>
      </c>
      <c r="O18" s="108">
        <f>Данные!C41</f>
        <v>8.0000000000000002E-3</v>
      </c>
      <c r="P18" s="107">
        <f t="shared" si="7"/>
        <v>9.2799999999999994</v>
      </c>
      <c r="Q18" s="107" t="e">
        <f t="shared" si="8"/>
        <v>#DIV/0!</v>
      </c>
      <c r="R18" s="107" t="e">
        <f t="shared" si="9"/>
        <v>#DIV/0!</v>
      </c>
      <c r="S18" s="107">
        <f t="shared" si="10"/>
        <v>9.2799999999999994</v>
      </c>
      <c r="T18" s="114">
        <f t="shared" ref="T18:T31" si="19">ROUND(E18*G18*H18+E18*N18*O18,2)</f>
        <v>78.88</v>
      </c>
      <c r="U18" s="114"/>
      <c r="V18" s="112">
        <f t="shared" si="15"/>
        <v>78.88</v>
      </c>
      <c r="W18" s="111">
        <f>Данные!F41</f>
        <v>76</v>
      </c>
      <c r="X18" s="112">
        <f t="shared" si="11"/>
        <v>5994.8799999999992</v>
      </c>
      <c r="Y18" s="28"/>
      <c r="Z18" s="29"/>
    </row>
    <row r="19" spans="1:26" s="8" customFormat="1" ht="18.5" x14ac:dyDescent="0.45">
      <c r="A19" s="97">
        <v>37</v>
      </c>
      <c r="B19" s="100" t="s">
        <v>34</v>
      </c>
      <c r="C19" s="99">
        <f t="shared" si="1"/>
        <v>66.12</v>
      </c>
      <c r="D19" s="115"/>
      <c r="E19" s="104">
        <f>Данные!$C$2</f>
        <v>116</v>
      </c>
      <c r="F19" s="132">
        <f t="shared" ref="F19:F27" si="20">E19</f>
        <v>116</v>
      </c>
      <c r="G19" s="104">
        <f>Данные!$A$2</f>
        <v>50</v>
      </c>
      <c r="H19" s="105">
        <f>Данные!B42</f>
        <v>0.01</v>
      </c>
      <c r="I19" s="105">
        <f t="shared" si="18"/>
        <v>58</v>
      </c>
      <c r="J19" s="105" t="e">
        <f t="shared" si="3"/>
        <v>#DIV/0!</v>
      </c>
      <c r="K19" s="105" t="e">
        <f t="shared" si="4"/>
        <v>#DIV/0!</v>
      </c>
      <c r="L19" s="105">
        <f t="shared" si="5"/>
        <v>58</v>
      </c>
      <c r="M19" s="134">
        <f t="shared" ref="M19:M27" si="21">E19</f>
        <v>116</v>
      </c>
      <c r="N19" s="104">
        <f>Данные!$B$2</f>
        <v>10</v>
      </c>
      <c r="O19" s="106">
        <f>Данные!C42</f>
        <v>7.0000000000000001E-3</v>
      </c>
      <c r="P19" s="107">
        <f t="shared" si="7"/>
        <v>8.120000000000001</v>
      </c>
      <c r="Q19" s="107" t="e">
        <f t="shared" si="8"/>
        <v>#DIV/0!</v>
      </c>
      <c r="R19" s="107" t="e">
        <f t="shared" si="9"/>
        <v>#DIV/0!</v>
      </c>
      <c r="S19" s="107">
        <f t="shared" si="10"/>
        <v>8.1199999999999992</v>
      </c>
      <c r="T19" s="114">
        <f t="shared" si="19"/>
        <v>66.12</v>
      </c>
      <c r="U19" s="114"/>
      <c r="V19" s="112">
        <f t="shared" si="15"/>
        <v>66.12</v>
      </c>
      <c r="W19" s="111">
        <f>Данные!F42</f>
        <v>62</v>
      </c>
      <c r="X19" s="112">
        <f t="shared" si="11"/>
        <v>4099.4400000000005</v>
      </c>
      <c r="Y19" s="28"/>
      <c r="Z19" s="29"/>
    </row>
    <row r="20" spans="1:26" s="8" customFormat="1" ht="18.5" x14ac:dyDescent="0.45">
      <c r="A20" s="97">
        <v>38</v>
      </c>
      <c r="B20" s="100" t="s">
        <v>35</v>
      </c>
      <c r="C20" s="99">
        <f t="shared" si="1"/>
        <v>41.3</v>
      </c>
      <c r="D20" s="115"/>
      <c r="E20" s="104">
        <f>Данные!$C$2</f>
        <v>116</v>
      </c>
      <c r="F20" s="132">
        <f t="shared" si="20"/>
        <v>116</v>
      </c>
      <c r="G20" s="104">
        <f>Данные!$A$2</f>
        <v>50</v>
      </c>
      <c r="H20" s="105">
        <f>Данные!B43</f>
        <v>6.1000000000000004E-3</v>
      </c>
      <c r="I20" s="105">
        <f t="shared" si="18"/>
        <v>35.380000000000003</v>
      </c>
      <c r="J20" s="105" t="e">
        <f t="shared" si="3"/>
        <v>#DIV/0!</v>
      </c>
      <c r="K20" s="105" t="e">
        <f t="shared" si="4"/>
        <v>#DIV/0!</v>
      </c>
      <c r="L20" s="105">
        <f t="shared" si="5"/>
        <v>35.380000000000003</v>
      </c>
      <c r="M20" s="134">
        <f t="shared" si="21"/>
        <v>116</v>
      </c>
      <c r="N20" s="104">
        <f>Данные!$B$2</f>
        <v>10</v>
      </c>
      <c r="O20" s="106">
        <f>Данные!C43</f>
        <v>5.1000000000000004E-3</v>
      </c>
      <c r="P20" s="107">
        <f t="shared" si="7"/>
        <v>5.9160000000000004</v>
      </c>
      <c r="Q20" s="107" t="e">
        <f t="shared" si="8"/>
        <v>#DIV/0!</v>
      </c>
      <c r="R20" s="107" t="e">
        <f t="shared" si="9"/>
        <v>#DIV/0!</v>
      </c>
      <c r="S20" s="107">
        <f t="shared" si="10"/>
        <v>5.92</v>
      </c>
      <c r="T20" s="114">
        <f t="shared" si="19"/>
        <v>41.3</v>
      </c>
      <c r="U20" s="114"/>
      <c r="V20" s="112">
        <f t="shared" si="15"/>
        <v>41.3</v>
      </c>
      <c r="W20" s="111">
        <f>Данные!F43</f>
        <v>56</v>
      </c>
      <c r="X20" s="112">
        <f t="shared" si="11"/>
        <v>2312.7999999999997</v>
      </c>
      <c r="Y20" s="28"/>
      <c r="Z20" s="29"/>
    </row>
    <row r="21" spans="1:26" s="8" customFormat="1" ht="18.5" x14ac:dyDescent="0.45">
      <c r="A21" s="97">
        <v>39</v>
      </c>
      <c r="B21" s="100" t="s">
        <v>36</v>
      </c>
      <c r="C21" s="99">
        <f t="shared" si="1"/>
        <v>13.92</v>
      </c>
      <c r="D21" s="115"/>
      <c r="E21" s="104">
        <f>Данные!$C$2</f>
        <v>116</v>
      </c>
      <c r="F21" s="132">
        <f t="shared" si="20"/>
        <v>116</v>
      </c>
      <c r="G21" s="104">
        <f>Данные!$A$2</f>
        <v>50</v>
      </c>
      <c r="H21" s="105">
        <f>Данные!B44</f>
        <v>2E-3</v>
      </c>
      <c r="I21" s="105">
        <f t="shared" si="18"/>
        <v>11.600000000000001</v>
      </c>
      <c r="J21" s="105" t="e">
        <f t="shared" si="3"/>
        <v>#DIV/0!</v>
      </c>
      <c r="K21" s="105" t="e">
        <f t="shared" si="4"/>
        <v>#DIV/0!</v>
      </c>
      <c r="L21" s="105">
        <f t="shared" si="5"/>
        <v>11.6</v>
      </c>
      <c r="M21" s="134">
        <f t="shared" si="21"/>
        <v>116</v>
      </c>
      <c r="N21" s="104">
        <f>Данные!$B$2</f>
        <v>10</v>
      </c>
      <c r="O21" s="106">
        <f>Данные!C44</f>
        <v>2E-3</v>
      </c>
      <c r="P21" s="107">
        <f t="shared" si="7"/>
        <v>2.3199999999999998</v>
      </c>
      <c r="Q21" s="107" t="e">
        <f t="shared" si="8"/>
        <v>#DIV/0!</v>
      </c>
      <c r="R21" s="107" t="e">
        <f t="shared" si="9"/>
        <v>#DIV/0!</v>
      </c>
      <c r="S21" s="107">
        <f t="shared" si="10"/>
        <v>2.3199999999999998</v>
      </c>
      <c r="T21" s="114">
        <f t="shared" si="19"/>
        <v>13.92</v>
      </c>
      <c r="U21" s="114"/>
      <c r="V21" s="112">
        <f t="shared" si="15"/>
        <v>13.92</v>
      </c>
      <c r="W21" s="111">
        <f>Данные!F44</f>
        <v>41</v>
      </c>
      <c r="X21" s="112">
        <f t="shared" si="11"/>
        <v>570.72</v>
      </c>
      <c r="Y21" s="28"/>
      <c r="Z21" s="29"/>
    </row>
    <row r="22" spans="1:26" s="8" customFormat="1" ht="18.5" x14ac:dyDescent="0.45">
      <c r="A22" s="97">
        <v>40</v>
      </c>
      <c r="B22" s="100" t="s">
        <v>37</v>
      </c>
      <c r="C22" s="99">
        <f t="shared" si="1"/>
        <v>12.06</v>
      </c>
      <c r="D22" s="115"/>
      <c r="E22" s="104">
        <f>Данные!$C$2</f>
        <v>116</v>
      </c>
      <c r="F22" s="132">
        <f t="shared" si="20"/>
        <v>116</v>
      </c>
      <c r="G22" s="104">
        <f>Данные!$A$2</f>
        <v>50</v>
      </c>
      <c r="H22" s="105">
        <f>Данные!B45</f>
        <v>1.9E-3</v>
      </c>
      <c r="I22" s="105">
        <f t="shared" si="18"/>
        <v>11.02</v>
      </c>
      <c r="J22" s="105" t="e">
        <f t="shared" si="3"/>
        <v>#DIV/0!</v>
      </c>
      <c r="K22" s="105" t="e">
        <f t="shared" si="4"/>
        <v>#DIV/0!</v>
      </c>
      <c r="L22" s="105">
        <f t="shared" si="5"/>
        <v>11.02</v>
      </c>
      <c r="M22" s="134">
        <f t="shared" si="21"/>
        <v>116</v>
      </c>
      <c r="N22" s="104">
        <f>Данные!$B$2</f>
        <v>10</v>
      </c>
      <c r="O22" s="106">
        <f>Данные!C45</f>
        <v>8.9999999999999998E-4</v>
      </c>
      <c r="P22" s="107">
        <f t="shared" si="7"/>
        <v>1.0439999999999998</v>
      </c>
      <c r="Q22" s="107" t="e">
        <f t="shared" si="8"/>
        <v>#DIV/0!</v>
      </c>
      <c r="R22" s="107" t="e">
        <f t="shared" si="9"/>
        <v>#DIV/0!</v>
      </c>
      <c r="S22" s="107">
        <f t="shared" si="10"/>
        <v>1.04</v>
      </c>
      <c r="T22" s="114">
        <f t="shared" si="19"/>
        <v>12.06</v>
      </c>
      <c r="U22" s="114"/>
      <c r="V22" s="112">
        <f t="shared" si="15"/>
        <v>12.06</v>
      </c>
      <c r="W22" s="111">
        <f>Данные!F45</f>
        <v>36</v>
      </c>
      <c r="X22" s="112">
        <f t="shared" si="11"/>
        <v>434.16</v>
      </c>
      <c r="Y22" s="28"/>
      <c r="Z22" s="29"/>
    </row>
    <row r="23" spans="1:26" s="8" customFormat="1" ht="18.5" x14ac:dyDescent="0.45">
      <c r="A23" s="97">
        <v>41</v>
      </c>
      <c r="B23" s="100" t="s">
        <v>38</v>
      </c>
      <c r="C23" s="99">
        <f t="shared" si="1"/>
        <v>6.96</v>
      </c>
      <c r="D23" s="115"/>
      <c r="E23" s="104">
        <f>Данные!$C$2</f>
        <v>116</v>
      </c>
      <c r="F23" s="132">
        <f t="shared" si="20"/>
        <v>116</v>
      </c>
      <c r="G23" s="104">
        <f>Данные!$A$2</f>
        <v>50</v>
      </c>
      <c r="H23" s="105">
        <f>Данные!B46</f>
        <v>1E-3</v>
      </c>
      <c r="I23" s="105">
        <f t="shared" si="18"/>
        <v>5.8000000000000007</v>
      </c>
      <c r="J23" s="105" t="e">
        <f t="shared" si="3"/>
        <v>#DIV/0!</v>
      </c>
      <c r="K23" s="105" t="e">
        <f t="shared" si="4"/>
        <v>#DIV/0!</v>
      </c>
      <c r="L23" s="105">
        <f t="shared" si="5"/>
        <v>5.8</v>
      </c>
      <c r="M23" s="134">
        <f t="shared" si="21"/>
        <v>116</v>
      </c>
      <c r="N23" s="104">
        <f>Данные!$B$2</f>
        <v>10</v>
      </c>
      <c r="O23" s="106">
        <f>Данные!C46</f>
        <v>1E-3</v>
      </c>
      <c r="P23" s="107">
        <f t="shared" si="7"/>
        <v>1.1599999999999999</v>
      </c>
      <c r="Q23" s="107" t="e">
        <f t="shared" si="8"/>
        <v>#DIV/0!</v>
      </c>
      <c r="R23" s="107" t="e">
        <f t="shared" si="9"/>
        <v>#DIV/0!</v>
      </c>
      <c r="S23" s="107">
        <f t="shared" si="10"/>
        <v>1.1599999999999999</v>
      </c>
      <c r="T23" s="114">
        <f t="shared" si="19"/>
        <v>6.96</v>
      </c>
      <c r="U23" s="114"/>
      <c r="V23" s="112">
        <f t="shared" si="15"/>
        <v>6.96</v>
      </c>
      <c r="W23" s="111">
        <f>Данные!F46</f>
        <v>49</v>
      </c>
      <c r="X23" s="112">
        <f t="shared" si="11"/>
        <v>341.04</v>
      </c>
      <c r="Y23" s="28"/>
      <c r="Z23" s="29"/>
    </row>
    <row r="24" spans="1:26" s="8" customFormat="1" ht="18.5" x14ac:dyDescent="0.45">
      <c r="A24" s="97">
        <v>42</v>
      </c>
      <c r="B24" s="100" t="s">
        <v>39</v>
      </c>
      <c r="C24" s="99">
        <f t="shared" si="1"/>
        <v>25.52</v>
      </c>
      <c r="D24" s="115"/>
      <c r="E24" s="104">
        <f>Данные!$C$2</f>
        <v>116</v>
      </c>
      <c r="F24" s="132">
        <f t="shared" si="20"/>
        <v>116</v>
      </c>
      <c r="G24" s="104">
        <f>Данные!$A$2</f>
        <v>50</v>
      </c>
      <c r="H24" s="105">
        <f>Данные!B47</f>
        <v>4.0000000000000001E-3</v>
      </c>
      <c r="I24" s="105">
        <f t="shared" si="18"/>
        <v>23.200000000000003</v>
      </c>
      <c r="J24" s="105" t="e">
        <f t="shared" si="3"/>
        <v>#DIV/0!</v>
      </c>
      <c r="K24" s="105" t="e">
        <f t="shared" si="4"/>
        <v>#DIV/0!</v>
      </c>
      <c r="L24" s="105">
        <f t="shared" si="5"/>
        <v>23.2</v>
      </c>
      <c r="M24" s="134">
        <f t="shared" si="21"/>
        <v>116</v>
      </c>
      <c r="N24" s="104">
        <f>Данные!$B$2</f>
        <v>10</v>
      </c>
      <c r="O24" s="106">
        <f>Данные!C47</f>
        <v>2E-3</v>
      </c>
      <c r="P24" s="107">
        <f t="shared" si="7"/>
        <v>2.3199999999999998</v>
      </c>
      <c r="Q24" s="107" t="e">
        <f t="shared" si="8"/>
        <v>#DIV/0!</v>
      </c>
      <c r="R24" s="107" t="e">
        <f t="shared" si="9"/>
        <v>#DIV/0!</v>
      </c>
      <c r="S24" s="107">
        <f t="shared" si="10"/>
        <v>2.3199999999999998</v>
      </c>
      <c r="T24" s="114">
        <f t="shared" si="19"/>
        <v>25.52</v>
      </c>
      <c r="U24" s="114"/>
      <c r="V24" s="112">
        <f t="shared" si="15"/>
        <v>25.52</v>
      </c>
      <c r="W24" s="111">
        <f>Данные!F47</f>
        <v>42</v>
      </c>
      <c r="X24" s="112">
        <f t="shared" si="11"/>
        <v>1071.8399999999999</v>
      </c>
      <c r="Y24" s="28"/>
      <c r="Z24" s="29"/>
    </row>
    <row r="25" spans="1:26" s="8" customFormat="1" ht="18.5" x14ac:dyDescent="0.45">
      <c r="A25" s="97">
        <v>43</v>
      </c>
      <c r="B25" s="100" t="s">
        <v>40</v>
      </c>
      <c r="C25" s="99">
        <f t="shared" si="1"/>
        <v>85.84</v>
      </c>
      <c r="D25" s="115"/>
      <c r="E25" s="104">
        <f>Данные!$C$2</f>
        <v>116</v>
      </c>
      <c r="F25" s="132">
        <f t="shared" si="20"/>
        <v>116</v>
      </c>
      <c r="G25" s="104">
        <f>Данные!$A$2</f>
        <v>50</v>
      </c>
      <c r="H25" s="105">
        <f>Данные!B48</f>
        <v>1.2999999999999999E-2</v>
      </c>
      <c r="I25" s="105">
        <f t="shared" si="18"/>
        <v>75.400000000000006</v>
      </c>
      <c r="J25" s="105" t="e">
        <f t="shared" si="3"/>
        <v>#DIV/0!</v>
      </c>
      <c r="K25" s="105" t="e">
        <f t="shared" si="4"/>
        <v>#DIV/0!</v>
      </c>
      <c r="L25" s="105">
        <f t="shared" si="5"/>
        <v>75.400000000000006</v>
      </c>
      <c r="M25" s="134">
        <f t="shared" si="21"/>
        <v>116</v>
      </c>
      <c r="N25" s="104">
        <f>Данные!$B$2</f>
        <v>10</v>
      </c>
      <c r="O25" s="106">
        <f>Данные!C48</f>
        <v>8.9999999999999993E-3</v>
      </c>
      <c r="P25" s="107">
        <f t="shared" si="7"/>
        <v>10.44</v>
      </c>
      <c r="Q25" s="107" t="e">
        <f t="shared" si="8"/>
        <v>#DIV/0!</v>
      </c>
      <c r="R25" s="107" t="e">
        <f t="shared" si="9"/>
        <v>#DIV/0!</v>
      </c>
      <c r="S25" s="107">
        <f t="shared" si="10"/>
        <v>10.44</v>
      </c>
      <c r="T25" s="114">
        <f t="shared" si="19"/>
        <v>85.84</v>
      </c>
      <c r="U25" s="114"/>
      <c r="V25" s="112">
        <f t="shared" si="15"/>
        <v>85.84</v>
      </c>
      <c r="W25" s="111">
        <f>Данные!F48</f>
        <v>111</v>
      </c>
      <c r="X25" s="112">
        <f t="shared" si="11"/>
        <v>9528.24</v>
      </c>
      <c r="Y25" s="28"/>
      <c r="Z25" s="29"/>
    </row>
    <row r="26" spans="1:26" s="8" customFormat="1" ht="18.5" x14ac:dyDescent="0.45">
      <c r="A26" s="97">
        <v>44</v>
      </c>
      <c r="B26" s="100" t="s">
        <v>41</v>
      </c>
      <c r="C26" s="99">
        <f t="shared" si="1"/>
        <v>32.479999999999997</v>
      </c>
      <c r="D26" s="115"/>
      <c r="E26" s="104">
        <f>Данные!$C$2</f>
        <v>116</v>
      </c>
      <c r="F26" s="132">
        <f t="shared" si="20"/>
        <v>116</v>
      </c>
      <c r="G26" s="104">
        <f>Данные!$A$2</f>
        <v>50</v>
      </c>
      <c r="H26" s="105">
        <f>Данные!B49</f>
        <v>5.0000000000000001E-3</v>
      </c>
      <c r="I26" s="105">
        <f t="shared" si="18"/>
        <v>29</v>
      </c>
      <c r="J26" s="105" t="e">
        <f t="shared" si="3"/>
        <v>#DIV/0!</v>
      </c>
      <c r="K26" s="105" t="e">
        <f t="shared" si="4"/>
        <v>#DIV/0!</v>
      </c>
      <c r="L26" s="105">
        <f t="shared" si="5"/>
        <v>29</v>
      </c>
      <c r="M26" s="134">
        <f t="shared" si="21"/>
        <v>116</v>
      </c>
      <c r="N26" s="104">
        <f>Данные!$B$2</f>
        <v>10</v>
      </c>
      <c r="O26" s="106">
        <f>Данные!C49</f>
        <v>3.0000000000000001E-3</v>
      </c>
      <c r="P26" s="107">
        <f t="shared" si="7"/>
        <v>3.48</v>
      </c>
      <c r="Q26" s="107" t="e">
        <f t="shared" si="8"/>
        <v>#DIV/0!</v>
      </c>
      <c r="R26" s="107" t="e">
        <f t="shared" si="9"/>
        <v>#DIV/0!</v>
      </c>
      <c r="S26" s="107">
        <f t="shared" si="10"/>
        <v>3.48</v>
      </c>
      <c r="T26" s="114">
        <f t="shared" si="19"/>
        <v>32.479999999999997</v>
      </c>
      <c r="U26" s="114"/>
      <c r="V26" s="112">
        <f t="shared" si="15"/>
        <v>32.479999999999997</v>
      </c>
      <c r="W26" s="111">
        <f>Данные!F49</f>
        <v>57</v>
      </c>
      <c r="X26" s="112">
        <f t="shared" si="11"/>
        <v>1851.36</v>
      </c>
      <c r="Y26" s="28"/>
      <c r="Z26" s="29"/>
    </row>
    <row r="27" spans="1:26" s="8" customFormat="1" ht="18.5" x14ac:dyDescent="0.45">
      <c r="A27" s="97">
        <v>45</v>
      </c>
      <c r="B27" s="97" t="s">
        <v>42</v>
      </c>
      <c r="C27" s="99">
        <f t="shared" si="1"/>
        <v>197.2</v>
      </c>
      <c r="D27" s="113"/>
      <c r="E27" s="104">
        <f>Данные!$C$2</f>
        <v>116</v>
      </c>
      <c r="F27" s="132">
        <f t="shared" si="20"/>
        <v>116</v>
      </c>
      <c r="G27" s="104">
        <f>Данные!$A$2</f>
        <v>50</v>
      </c>
      <c r="H27" s="105">
        <f>Данные!B50</f>
        <v>2.9000000000000001E-2</v>
      </c>
      <c r="I27" s="105">
        <f t="shared" si="18"/>
        <v>168.20000000000002</v>
      </c>
      <c r="J27" s="105" t="e">
        <f t="shared" si="3"/>
        <v>#DIV/0!</v>
      </c>
      <c r="K27" s="105" t="e">
        <f t="shared" si="4"/>
        <v>#DIV/0!</v>
      </c>
      <c r="L27" s="105">
        <f t="shared" si="5"/>
        <v>168.2</v>
      </c>
      <c r="M27" s="134">
        <f t="shared" si="21"/>
        <v>116</v>
      </c>
      <c r="N27" s="104">
        <f>Данные!$B$2</f>
        <v>10</v>
      </c>
      <c r="O27" s="108">
        <f>Данные!C50</f>
        <v>2.5000000000000001E-2</v>
      </c>
      <c r="P27" s="107">
        <f t="shared" si="7"/>
        <v>29</v>
      </c>
      <c r="Q27" s="107" t="e">
        <f t="shared" si="8"/>
        <v>#DIV/0!</v>
      </c>
      <c r="R27" s="107" t="e">
        <f t="shared" si="9"/>
        <v>#DIV/0!</v>
      </c>
      <c r="S27" s="107">
        <f t="shared" si="10"/>
        <v>29</v>
      </c>
      <c r="T27" s="114">
        <f t="shared" si="19"/>
        <v>197.2</v>
      </c>
      <c r="U27" s="114"/>
      <c r="V27" s="112">
        <f t="shared" si="15"/>
        <v>197.2</v>
      </c>
      <c r="W27" s="111">
        <f>Данные!F50</f>
        <v>50</v>
      </c>
      <c r="X27" s="112">
        <f t="shared" si="11"/>
        <v>9860</v>
      </c>
      <c r="Y27" s="28"/>
      <c r="Z27" s="29"/>
    </row>
    <row r="28" spans="1:26" s="8" customFormat="1" ht="18.5" x14ac:dyDescent="0.45">
      <c r="A28" s="97">
        <v>46</v>
      </c>
      <c r="B28" s="97" t="s">
        <v>43</v>
      </c>
      <c r="C28" s="99">
        <f t="shared" si="1"/>
        <v>32</v>
      </c>
      <c r="D28" s="133">
        <v>1</v>
      </c>
      <c r="E28" s="104">
        <f>Данные!$C$2</f>
        <v>116</v>
      </c>
      <c r="F28" s="132">
        <f>K28/G28/H28</f>
        <v>115.99999999999999</v>
      </c>
      <c r="G28" s="104">
        <f>Данные!$A$2</f>
        <v>50</v>
      </c>
      <c r="H28" s="105">
        <f>Данные!B51</f>
        <v>5.0000000000000001E-3</v>
      </c>
      <c r="I28" s="105">
        <f t="shared" si="18"/>
        <v>29</v>
      </c>
      <c r="J28" s="105">
        <f t="shared" si="3"/>
        <v>29</v>
      </c>
      <c r="K28" s="105">
        <f t="shared" si="4"/>
        <v>29</v>
      </c>
      <c r="L28" s="105">
        <f t="shared" si="5"/>
        <v>29</v>
      </c>
      <c r="M28" s="134">
        <f>R28/N28/O28</f>
        <v>100</v>
      </c>
      <c r="N28" s="104">
        <f>Данные!$B$2</f>
        <v>10</v>
      </c>
      <c r="O28" s="108">
        <f>Данные!C51</f>
        <v>3.0000000000000001E-3</v>
      </c>
      <c r="P28" s="107">
        <f t="shared" si="7"/>
        <v>3.4799999999999995</v>
      </c>
      <c r="Q28" s="107">
        <f t="shared" si="8"/>
        <v>3</v>
      </c>
      <c r="R28" s="107">
        <f t="shared" si="9"/>
        <v>3</v>
      </c>
      <c r="S28" s="107">
        <f t="shared" si="10"/>
        <v>3</v>
      </c>
      <c r="T28" s="114">
        <f>S28+L28</f>
        <v>32</v>
      </c>
      <c r="U28" s="114"/>
      <c r="V28" s="112">
        <f t="shared" si="15"/>
        <v>32</v>
      </c>
      <c r="W28" s="111">
        <f>Данные!F51</f>
        <v>20</v>
      </c>
      <c r="X28" s="112">
        <f t="shared" si="11"/>
        <v>640</v>
      </c>
      <c r="Y28" s="28"/>
      <c r="Z28" s="29"/>
    </row>
    <row r="29" spans="1:26" s="8" customFormat="1" ht="18.5" x14ac:dyDescent="0.45">
      <c r="A29" s="97">
        <v>47</v>
      </c>
      <c r="B29" s="97" t="s">
        <v>44</v>
      </c>
      <c r="C29" s="99">
        <f t="shared" si="1"/>
        <v>203</v>
      </c>
      <c r="D29" s="113"/>
      <c r="E29" s="104">
        <f>Данные!$C$2</f>
        <v>116</v>
      </c>
      <c r="F29" s="132">
        <f>E29</f>
        <v>116</v>
      </c>
      <c r="G29" s="104">
        <f>Данные!$A$2</f>
        <v>50</v>
      </c>
      <c r="H29" s="105">
        <f>Данные!B52</f>
        <v>0.03</v>
      </c>
      <c r="I29" s="105">
        <f t="shared" si="18"/>
        <v>174</v>
      </c>
      <c r="J29" s="105" t="e">
        <f t="shared" si="3"/>
        <v>#DIV/0!</v>
      </c>
      <c r="K29" s="105" t="e">
        <f t="shared" si="4"/>
        <v>#DIV/0!</v>
      </c>
      <c r="L29" s="105">
        <f t="shared" si="5"/>
        <v>174</v>
      </c>
      <c r="M29" s="134">
        <f>E29</f>
        <v>116</v>
      </c>
      <c r="N29" s="104">
        <f>Данные!$B$2</f>
        <v>10</v>
      </c>
      <c r="O29" s="108">
        <f>Данные!C52</f>
        <v>2.5000000000000001E-2</v>
      </c>
      <c r="P29" s="107">
        <f t="shared" si="7"/>
        <v>29</v>
      </c>
      <c r="Q29" s="107" t="e">
        <f t="shared" si="8"/>
        <v>#DIV/0!</v>
      </c>
      <c r="R29" s="107" t="e">
        <f t="shared" si="9"/>
        <v>#DIV/0!</v>
      </c>
      <c r="S29" s="107">
        <f t="shared" si="10"/>
        <v>29</v>
      </c>
      <c r="T29" s="114">
        <f t="shared" si="19"/>
        <v>203</v>
      </c>
      <c r="U29" s="114"/>
      <c r="V29" s="112">
        <f t="shared" si="15"/>
        <v>203</v>
      </c>
      <c r="W29" s="111">
        <f>Данные!F52</f>
        <v>78</v>
      </c>
      <c r="X29" s="112">
        <f t="shared" si="11"/>
        <v>15834</v>
      </c>
      <c r="Y29" s="28"/>
      <c r="Z29" s="29"/>
    </row>
    <row r="30" spans="1:26" s="8" customFormat="1" ht="18.5" x14ac:dyDescent="0.45">
      <c r="A30" s="97">
        <v>48</v>
      </c>
      <c r="B30" s="97" t="s">
        <v>45</v>
      </c>
      <c r="C30" s="99">
        <f t="shared" si="1"/>
        <v>73.599999999999994</v>
      </c>
      <c r="D30" s="133">
        <v>0.92</v>
      </c>
      <c r="E30" s="104">
        <f>Данные!$C$2</f>
        <v>116</v>
      </c>
      <c r="F30" s="132">
        <f>K30/G30/H30</f>
        <v>115.41818181818184</v>
      </c>
      <c r="G30" s="104">
        <f>Данные!$A$2</f>
        <v>50</v>
      </c>
      <c r="H30" s="105">
        <f>Данные!B53</f>
        <v>1.0999999999999999E-2</v>
      </c>
      <c r="I30" s="105">
        <f t="shared" si="18"/>
        <v>63.79999999999999</v>
      </c>
      <c r="J30" s="105">
        <f t="shared" si="3"/>
        <v>69</v>
      </c>
      <c r="K30" s="105">
        <f t="shared" si="4"/>
        <v>63.480000000000004</v>
      </c>
      <c r="L30" s="105">
        <f t="shared" si="5"/>
        <v>63.48</v>
      </c>
      <c r="M30" s="134">
        <f>R30/N30/O30</f>
        <v>112.44444444444446</v>
      </c>
      <c r="N30" s="104">
        <f>Данные!$B$2</f>
        <v>10</v>
      </c>
      <c r="O30" s="108">
        <f>Данные!C53</f>
        <v>8.9999999999999993E-3</v>
      </c>
      <c r="P30" s="107">
        <f t="shared" si="7"/>
        <v>10.387636363636364</v>
      </c>
      <c r="Q30" s="107">
        <f t="shared" si="8"/>
        <v>11</v>
      </c>
      <c r="R30" s="107">
        <f t="shared" si="9"/>
        <v>10.120000000000001</v>
      </c>
      <c r="S30" s="107">
        <f t="shared" si="10"/>
        <v>10.119999999999999</v>
      </c>
      <c r="T30" s="114">
        <f>S30+L30</f>
        <v>73.599999999999994</v>
      </c>
      <c r="U30" s="114"/>
      <c r="V30" s="112">
        <f t="shared" si="15"/>
        <v>73.599999999999994</v>
      </c>
      <c r="W30" s="111">
        <f>Данные!F53</f>
        <v>150</v>
      </c>
      <c r="X30" s="112">
        <f t="shared" si="11"/>
        <v>11040</v>
      </c>
      <c r="Y30" s="28"/>
      <c r="Z30" s="29"/>
    </row>
    <row r="31" spans="1:26" s="8" customFormat="1" ht="18.5" x14ac:dyDescent="0.45">
      <c r="A31" s="97">
        <v>49</v>
      </c>
      <c r="B31" s="97" t="s">
        <v>46</v>
      </c>
      <c r="C31" s="99">
        <f t="shared" si="1"/>
        <v>19.72</v>
      </c>
      <c r="D31" s="113"/>
      <c r="E31" s="104">
        <f>Данные!$C$2</f>
        <v>116</v>
      </c>
      <c r="F31" s="132">
        <f>E31</f>
        <v>116</v>
      </c>
      <c r="G31" s="104">
        <f>Данные!$A$2</f>
        <v>50</v>
      </c>
      <c r="H31" s="105">
        <f>Данные!B54</f>
        <v>3.0000000000000001E-3</v>
      </c>
      <c r="I31" s="105">
        <f t="shared" si="18"/>
        <v>17.399999999999999</v>
      </c>
      <c r="J31" s="105" t="e">
        <f t="shared" si="3"/>
        <v>#DIV/0!</v>
      </c>
      <c r="K31" s="105" t="e">
        <f t="shared" si="4"/>
        <v>#DIV/0!</v>
      </c>
      <c r="L31" s="105">
        <f t="shared" si="5"/>
        <v>17.399999999999999</v>
      </c>
      <c r="M31" s="134">
        <f>E31</f>
        <v>116</v>
      </c>
      <c r="N31" s="104">
        <f>Данные!$B$2</f>
        <v>10</v>
      </c>
      <c r="O31" s="108">
        <f>Данные!C54</f>
        <v>2E-3</v>
      </c>
      <c r="P31" s="107">
        <f t="shared" si="7"/>
        <v>2.3199999999999998</v>
      </c>
      <c r="Q31" s="107" t="e">
        <f t="shared" si="8"/>
        <v>#DIV/0!</v>
      </c>
      <c r="R31" s="107" t="e">
        <f t="shared" si="9"/>
        <v>#DIV/0!</v>
      </c>
      <c r="S31" s="107">
        <f t="shared" si="10"/>
        <v>2.3199999999999998</v>
      </c>
      <c r="T31" s="114">
        <f t="shared" si="19"/>
        <v>19.72</v>
      </c>
      <c r="U31" s="114"/>
      <c r="V31" s="112">
        <f t="shared" si="15"/>
        <v>19.72</v>
      </c>
      <c r="W31" s="114">
        <f>Данные!F54</f>
        <v>263</v>
      </c>
      <c r="X31" s="112">
        <f t="shared" si="11"/>
        <v>5186.3599999999997</v>
      </c>
      <c r="Y31" s="28"/>
      <c r="Z31" s="29"/>
    </row>
    <row r="32" spans="1:26" s="8" customFormat="1" ht="18.5" x14ac:dyDescent="0.45">
      <c r="A32" s="97">
        <v>58</v>
      </c>
      <c r="B32" s="97" t="s">
        <v>151</v>
      </c>
      <c r="C32" s="99">
        <f t="shared" si="1"/>
        <v>462.84</v>
      </c>
      <c r="D32" s="113"/>
      <c r="E32" s="104">
        <f>Данные!$C$2</f>
        <v>116</v>
      </c>
      <c r="F32" s="132">
        <f>E32</f>
        <v>116</v>
      </c>
      <c r="G32" s="104">
        <f>Данные!$A$2</f>
        <v>50</v>
      </c>
      <c r="H32" s="105">
        <f>Данные!B63</f>
        <v>6.7000000000000004E-2</v>
      </c>
      <c r="I32" s="105">
        <f t="shared" si="18"/>
        <v>388.6</v>
      </c>
      <c r="J32" s="105" t="e">
        <f t="shared" si="3"/>
        <v>#DIV/0!</v>
      </c>
      <c r="K32" s="105" t="e">
        <f t="shared" si="4"/>
        <v>#DIV/0!</v>
      </c>
      <c r="L32" s="105">
        <f t="shared" si="5"/>
        <v>388.6</v>
      </c>
      <c r="M32" s="134">
        <f>E32</f>
        <v>116</v>
      </c>
      <c r="N32" s="104">
        <f>Данные!$B$2</f>
        <v>10</v>
      </c>
      <c r="O32" s="108">
        <f>Данные!C63</f>
        <v>6.4000000000000001E-2</v>
      </c>
      <c r="P32" s="107">
        <f t="shared" si="7"/>
        <v>74.239999999999995</v>
      </c>
      <c r="Q32" s="107" t="e">
        <f t="shared" si="8"/>
        <v>#DIV/0!</v>
      </c>
      <c r="R32" s="107" t="e">
        <f t="shared" si="9"/>
        <v>#DIV/0!</v>
      </c>
      <c r="S32" s="107">
        <f t="shared" si="10"/>
        <v>74.239999999999995</v>
      </c>
      <c r="T32" s="114">
        <f t="shared" ref="T32" si="22">S32+L32</f>
        <v>462.84000000000003</v>
      </c>
      <c r="U32" s="114"/>
      <c r="V32" s="112">
        <f t="shared" si="15"/>
        <v>462.84</v>
      </c>
      <c r="W32" s="111">
        <f>Данные!F63</f>
        <v>127</v>
      </c>
      <c r="X32" s="112">
        <f t="shared" si="11"/>
        <v>58780.68</v>
      </c>
      <c r="Y32" s="28"/>
      <c r="Z32" s="29"/>
    </row>
    <row r="33" spans="1:24" s="8" customFormat="1" ht="18.5" x14ac:dyDescent="0.45">
      <c r="A33" s="9"/>
      <c r="B33" s="9" t="s">
        <v>50</v>
      </c>
      <c r="C33" s="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116">
        <f>SUM(X8:X32)</f>
        <v>383993.12499999988</v>
      </c>
    </row>
    <row r="34" spans="1:24" s="8" customFormat="1" ht="18.5" x14ac:dyDescent="0.45"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</row>
    <row r="35" spans="1:24" s="8" customFormat="1" ht="18.5" x14ac:dyDescent="0.45">
      <c r="A35" s="10" t="s">
        <v>51</v>
      </c>
      <c r="B35" s="10"/>
      <c r="C35" s="10"/>
      <c r="D35" s="91"/>
      <c r="E35" s="91"/>
      <c r="F35" s="91"/>
      <c r="G35" s="117"/>
      <c r="H35" s="91"/>
      <c r="I35" s="91"/>
      <c r="J35" s="91"/>
      <c r="K35" s="91"/>
      <c r="L35" s="91"/>
      <c r="M35" s="91"/>
      <c r="N35" s="118"/>
      <c r="O35" s="118"/>
      <c r="P35" s="118"/>
      <c r="Q35" s="118"/>
      <c r="R35" s="118"/>
      <c r="S35" s="118"/>
      <c r="T35" s="118"/>
      <c r="U35" s="119"/>
      <c r="V35" s="119"/>
      <c r="W35" s="120"/>
      <c r="X35" s="90"/>
    </row>
    <row r="36" spans="1:24" s="6" customFormat="1" ht="18.5" x14ac:dyDescent="0.45">
      <c r="A36" s="2" t="s">
        <v>70</v>
      </c>
      <c r="B36" s="2"/>
      <c r="C36" s="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121"/>
      <c r="O36" s="121"/>
      <c r="P36" s="121"/>
      <c r="Q36" s="121"/>
      <c r="R36" s="121"/>
      <c r="S36" s="121"/>
      <c r="T36" s="121"/>
      <c r="U36" s="120"/>
      <c r="V36" s="90"/>
      <c r="W36" s="122"/>
      <c r="X36" s="122"/>
    </row>
    <row r="37" spans="1:24" s="6" customFormat="1" ht="18.5" x14ac:dyDescent="0.45">
      <c r="A37" s="2" t="s">
        <v>68</v>
      </c>
      <c r="B37" s="2"/>
      <c r="C37" s="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121"/>
      <c r="O37" s="121"/>
      <c r="P37" s="121"/>
      <c r="Q37" s="121"/>
      <c r="R37" s="121"/>
      <c r="S37" s="121"/>
      <c r="T37" s="121"/>
      <c r="U37" s="120"/>
      <c r="V37" s="90"/>
      <c r="W37" s="122"/>
      <c r="X37" s="122"/>
    </row>
    <row r="38" spans="1:24" s="8" customFormat="1" ht="18.5" x14ac:dyDescent="0.45">
      <c r="A38" s="2" t="s">
        <v>65</v>
      </c>
      <c r="B38" s="2"/>
      <c r="C38" s="2"/>
      <c r="D38" s="92"/>
      <c r="E38" s="92"/>
      <c r="F38" s="92"/>
      <c r="G38" s="92"/>
      <c r="H38" s="120"/>
      <c r="I38" s="120"/>
      <c r="J38" s="120"/>
      <c r="K38" s="120"/>
      <c r="L38" s="120"/>
      <c r="M38" s="120"/>
      <c r="N38" s="118"/>
      <c r="O38" s="118"/>
      <c r="P38" s="118"/>
      <c r="Q38" s="118"/>
      <c r="R38" s="118"/>
      <c r="S38" s="118"/>
      <c r="T38" s="118" t="s">
        <v>67</v>
      </c>
      <c r="U38" s="123"/>
      <c r="V38" s="123"/>
      <c r="W38" s="120"/>
      <c r="X38" s="90"/>
    </row>
    <row r="39" spans="1:24" s="8" customFormat="1" ht="18.5" x14ac:dyDescent="0.45">
      <c r="A39" s="2" t="s">
        <v>66</v>
      </c>
      <c r="B39" s="2"/>
      <c r="C39" s="2"/>
      <c r="D39" s="92"/>
      <c r="E39" s="92"/>
      <c r="F39" s="92"/>
      <c r="G39" s="92"/>
      <c r="H39" s="120"/>
      <c r="I39" s="120"/>
      <c r="J39" s="120"/>
      <c r="K39" s="120"/>
      <c r="L39" s="120"/>
      <c r="M39" s="120"/>
      <c r="N39" s="118"/>
      <c r="O39" s="118"/>
      <c r="P39" s="118"/>
      <c r="Q39" s="118"/>
      <c r="R39" s="118"/>
      <c r="S39" s="118"/>
      <c r="T39" s="118"/>
      <c r="U39" s="123"/>
      <c r="V39" s="123"/>
      <c r="W39" s="120"/>
      <c r="X39" s="90"/>
    </row>
    <row r="40" spans="1:24" s="3" customFormat="1" x14ac:dyDescent="0.35">
      <c r="A40" s="7"/>
      <c r="B40" s="2"/>
      <c r="C40" s="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124"/>
      <c r="O40" s="124"/>
      <c r="P40" s="124"/>
      <c r="Q40" s="124"/>
      <c r="R40" s="124"/>
      <c r="S40" s="124"/>
      <c r="T40" s="124"/>
      <c r="U40" s="125"/>
      <c r="V40" s="125"/>
      <c r="W40" s="92"/>
      <c r="X40" s="71"/>
    </row>
    <row r="41" spans="1:24" s="3" customFormat="1" x14ac:dyDescent="0.35">
      <c r="B41" s="64" t="s">
        <v>168</v>
      </c>
      <c r="D41" s="146" t="str">
        <f>Данные!Z2</f>
        <v>МДОУ "Детский сад  № 138"</v>
      </c>
      <c r="E41" s="146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s="3" customFormat="1" x14ac:dyDescent="0.35"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s="3" customFormat="1" x14ac:dyDescent="0.35"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4" s="3" customFormat="1" ht="16.5" customHeight="1" x14ac:dyDescent="0.35">
      <c r="A44" s="64" t="s">
        <v>170</v>
      </c>
      <c r="B44" s="143" t="s">
        <v>169</v>
      </c>
      <c r="C44" s="143"/>
      <c r="D44" s="147"/>
      <c r="E44" s="147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</row>
    <row r="45" spans="1:24" s="3" customFormat="1" ht="22.5" customHeight="1" x14ac:dyDescent="0.35">
      <c r="A45" s="4" t="s">
        <v>171</v>
      </c>
      <c r="B45" s="144" t="s">
        <v>167</v>
      </c>
      <c r="C45" s="144"/>
      <c r="D45" s="142"/>
      <c r="E45" s="142"/>
      <c r="F45" s="126"/>
      <c r="G45" s="127"/>
      <c r="H45" s="128"/>
      <c r="I45" s="128"/>
      <c r="J45" s="128"/>
      <c r="K45" s="128"/>
      <c r="L45" s="128"/>
      <c r="M45" s="128"/>
      <c r="N45" s="129"/>
      <c r="O45" s="130"/>
      <c r="P45" s="130"/>
      <c r="Q45" s="130"/>
      <c r="R45" s="130"/>
      <c r="S45" s="130"/>
      <c r="T45" s="130"/>
      <c r="U45" s="131"/>
      <c r="V45" s="131"/>
      <c r="W45" s="131"/>
      <c r="X45" s="71"/>
    </row>
  </sheetData>
  <mergeCells count="8">
    <mergeCell ref="D45:E45"/>
    <mergeCell ref="B44:C44"/>
    <mergeCell ref="B45:C45"/>
    <mergeCell ref="B3:X3"/>
    <mergeCell ref="D41:E41"/>
    <mergeCell ref="D44:E44"/>
    <mergeCell ref="B4:X4"/>
    <mergeCell ref="B5:X5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4"/>
  <sheetViews>
    <sheetView zoomScale="88" zoomScaleNormal="88" workbookViewId="0"/>
  </sheetViews>
  <sheetFormatPr defaultRowHeight="14.5" x14ac:dyDescent="0.35"/>
  <cols>
    <col min="1" max="1" width="18.26953125" style="96" customWidth="1"/>
    <col min="2" max="2" width="52.7265625" style="71" customWidth="1"/>
  </cols>
  <sheetData>
    <row r="1" spans="1:2" ht="31" x14ac:dyDescent="0.35">
      <c r="A1" s="95" t="s">
        <v>8</v>
      </c>
      <c r="B1" s="57" t="s">
        <v>101</v>
      </c>
    </row>
    <row r="2" spans="1:2" s="71" customFormat="1" ht="46.5" x14ac:dyDescent="0.35">
      <c r="A2" s="69" t="s">
        <v>12</v>
      </c>
      <c r="B2" s="70" t="s">
        <v>173</v>
      </c>
    </row>
    <row r="3" spans="1:2" s="71" customFormat="1" ht="186" x14ac:dyDescent="0.35">
      <c r="A3" s="56" t="s">
        <v>80</v>
      </c>
      <c r="B3" s="70" t="s">
        <v>209</v>
      </c>
    </row>
    <row r="4" spans="1:2" s="71" customFormat="1" ht="186" x14ac:dyDescent="0.35">
      <c r="A4" s="56" t="s">
        <v>81</v>
      </c>
      <c r="B4" s="70" t="s">
        <v>174</v>
      </c>
    </row>
    <row r="5" spans="1:2" s="71" customFormat="1" ht="46.5" x14ac:dyDescent="0.35">
      <c r="A5" s="69" t="s">
        <v>13</v>
      </c>
      <c r="B5" s="70" t="s">
        <v>175</v>
      </c>
    </row>
    <row r="6" spans="1:2" s="71" customFormat="1" ht="46.5" x14ac:dyDescent="0.35">
      <c r="A6" s="69" t="s">
        <v>14</v>
      </c>
      <c r="B6" s="70" t="s">
        <v>176</v>
      </c>
    </row>
    <row r="7" spans="1:2" s="71" customFormat="1" ht="124" x14ac:dyDescent="0.35">
      <c r="A7" s="56" t="s">
        <v>82</v>
      </c>
      <c r="B7" s="72" t="s">
        <v>220</v>
      </c>
    </row>
    <row r="8" spans="1:2" s="71" customFormat="1" ht="15.5" x14ac:dyDescent="0.35">
      <c r="A8" s="69" t="s">
        <v>16</v>
      </c>
      <c r="B8" s="70" t="s">
        <v>177</v>
      </c>
    </row>
    <row r="9" spans="1:2" s="71" customFormat="1" ht="15.5" x14ac:dyDescent="0.35">
      <c r="A9" s="56" t="s">
        <v>83</v>
      </c>
      <c r="B9" s="73" t="s">
        <v>84</v>
      </c>
    </row>
    <row r="10" spans="1:2" s="71" customFormat="1" ht="46.5" x14ac:dyDescent="0.35">
      <c r="A10" s="69" t="s">
        <v>15</v>
      </c>
      <c r="B10" s="70" t="s">
        <v>178</v>
      </c>
    </row>
    <row r="11" spans="1:2" s="71" customFormat="1" ht="108.5" x14ac:dyDescent="0.35">
      <c r="A11" s="69" t="s">
        <v>17</v>
      </c>
      <c r="B11" s="70" t="s">
        <v>221</v>
      </c>
    </row>
    <row r="12" spans="1:2" s="71" customFormat="1" ht="46.5" x14ac:dyDescent="0.35">
      <c r="A12" s="56" t="s">
        <v>85</v>
      </c>
      <c r="B12" s="70" t="s">
        <v>210</v>
      </c>
    </row>
    <row r="13" spans="1:2" s="71" customFormat="1" ht="31" x14ac:dyDescent="0.35">
      <c r="A13" s="69" t="s">
        <v>33</v>
      </c>
      <c r="B13" s="70" t="s">
        <v>179</v>
      </c>
    </row>
    <row r="14" spans="1:2" s="71" customFormat="1" ht="62" x14ac:dyDescent="0.35">
      <c r="A14" s="74" t="s">
        <v>34</v>
      </c>
      <c r="B14" s="70" t="s">
        <v>180</v>
      </c>
    </row>
    <row r="15" spans="1:2" s="71" customFormat="1" ht="46.5" x14ac:dyDescent="0.35">
      <c r="A15" s="74" t="s">
        <v>35</v>
      </c>
      <c r="B15" s="70" t="s">
        <v>222</v>
      </c>
    </row>
    <row r="16" spans="1:2" s="71" customFormat="1" ht="77.5" x14ac:dyDescent="0.35">
      <c r="A16" s="74" t="s">
        <v>36</v>
      </c>
      <c r="B16" s="70" t="s">
        <v>211</v>
      </c>
    </row>
    <row r="17" spans="1:2" s="71" customFormat="1" ht="46.5" x14ac:dyDescent="0.35">
      <c r="A17" s="74" t="s">
        <v>37</v>
      </c>
      <c r="B17" s="70" t="s">
        <v>181</v>
      </c>
    </row>
    <row r="18" spans="1:2" s="71" customFormat="1" ht="62" x14ac:dyDescent="0.35">
      <c r="A18" s="56" t="s">
        <v>182</v>
      </c>
      <c r="B18" s="70" t="s">
        <v>183</v>
      </c>
    </row>
    <row r="19" spans="1:2" s="71" customFormat="1" ht="31" x14ac:dyDescent="0.35">
      <c r="A19" s="56" t="s">
        <v>86</v>
      </c>
      <c r="B19" s="70" t="s">
        <v>184</v>
      </c>
    </row>
    <row r="20" spans="1:2" s="71" customFormat="1" ht="62" x14ac:dyDescent="0.35">
      <c r="A20" s="56" t="s">
        <v>87</v>
      </c>
      <c r="B20" s="70" t="s">
        <v>185</v>
      </c>
    </row>
    <row r="21" spans="1:2" s="71" customFormat="1" ht="31" x14ac:dyDescent="0.35">
      <c r="A21" s="56" t="s">
        <v>157</v>
      </c>
      <c r="B21" s="70" t="s">
        <v>186</v>
      </c>
    </row>
    <row r="22" spans="1:2" s="71" customFormat="1" ht="31" x14ac:dyDescent="0.35">
      <c r="A22" s="56" t="s">
        <v>88</v>
      </c>
      <c r="B22" s="70" t="s">
        <v>187</v>
      </c>
    </row>
    <row r="23" spans="1:2" s="71" customFormat="1" ht="77.5" x14ac:dyDescent="0.35">
      <c r="A23" s="56" t="s">
        <v>158</v>
      </c>
      <c r="B23" s="70" t="s">
        <v>154</v>
      </c>
    </row>
    <row r="24" spans="1:2" s="71" customFormat="1" ht="62" x14ac:dyDescent="0.35">
      <c r="A24" s="56" t="s">
        <v>159</v>
      </c>
      <c r="B24" s="70" t="s">
        <v>188</v>
      </c>
    </row>
    <row r="25" spans="1:2" s="71" customFormat="1" ht="15.5" x14ac:dyDescent="0.35">
      <c r="A25" s="52" t="s">
        <v>23</v>
      </c>
      <c r="B25" s="75" t="s">
        <v>177</v>
      </c>
    </row>
    <row r="26" spans="1:2" s="71" customFormat="1" ht="46.5" x14ac:dyDescent="0.35">
      <c r="A26" s="69" t="s">
        <v>22</v>
      </c>
      <c r="B26" s="70" t="s">
        <v>189</v>
      </c>
    </row>
    <row r="27" spans="1:2" s="71" customFormat="1" ht="93" x14ac:dyDescent="0.35">
      <c r="A27" s="56" t="s">
        <v>89</v>
      </c>
      <c r="B27" s="70" t="s">
        <v>190</v>
      </c>
    </row>
    <row r="28" spans="1:2" s="71" customFormat="1" ht="77.5" x14ac:dyDescent="0.35">
      <c r="A28" s="56" t="s">
        <v>90</v>
      </c>
      <c r="B28" s="70" t="s">
        <v>223</v>
      </c>
    </row>
    <row r="29" spans="1:2" s="71" customFormat="1" ht="62" x14ac:dyDescent="0.35">
      <c r="A29" s="56" t="s">
        <v>91</v>
      </c>
      <c r="B29" s="70" t="s">
        <v>156</v>
      </c>
    </row>
    <row r="30" spans="1:2" s="71" customFormat="1" ht="62" x14ac:dyDescent="0.35">
      <c r="A30" s="56" t="s">
        <v>92</v>
      </c>
      <c r="B30" s="70" t="s">
        <v>224</v>
      </c>
    </row>
    <row r="31" spans="1:2" s="71" customFormat="1" ht="15.5" x14ac:dyDescent="0.35">
      <c r="A31" s="76" t="s">
        <v>93</v>
      </c>
      <c r="B31" s="77" t="s">
        <v>177</v>
      </c>
    </row>
    <row r="32" spans="1:2" s="71" customFormat="1" ht="31" x14ac:dyDescent="0.35">
      <c r="A32" s="56" t="s">
        <v>191</v>
      </c>
      <c r="B32" s="70" t="s">
        <v>155</v>
      </c>
    </row>
    <row r="33" spans="1:2" s="71" customFormat="1" ht="62" x14ac:dyDescent="0.35">
      <c r="A33" s="69" t="s">
        <v>212</v>
      </c>
      <c r="B33" s="70" t="s">
        <v>206</v>
      </c>
    </row>
    <row r="34" spans="1:2" s="71" customFormat="1" ht="201.5" x14ac:dyDescent="0.35">
      <c r="A34" s="56" t="s">
        <v>94</v>
      </c>
      <c r="B34" s="70" t="s">
        <v>213</v>
      </c>
    </row>
    <row r="35" spans="1:2" s="71" customFormat="1" ht="70" x14ac:dyDescent="0.35">
      <c r="A35" s="56" t="s">
        <v>95</v>
      </c>
      <c r="B35" s="78" t="s">
        <v>228</v>
      </c>
    </row>
    <row r="36" spans="1:2" s="71" customFormat="1" ht="170.5" x14ac:dyDescent="0.35">
      <c r="A36" s="69" t="s">
        <v>69</v>
      </c>
      <c r="B36" s="79" t="s">
        <v>229</v>
      </c>
    </row>
    <row r="37" spans="1:2" s="71" customFormat="1" ht="124" x14ac:dyDescent="0.35">
      <c r="A37" s="69" t="s">
        <v>47</v>
      </c>
      <c r="B37" s="70" t="s">
        <v>214</v>
      </c>
    </row>
    <row r="38" spans="1:2" s="71" customFormat="1" ht="31" x14ac:dyDescent="0.35">
      <c r="A38" s="80" t="s">
        <v>43</v>
      </c>
      <c r="B38" s="70" t="s">
        <v>215</v>
      </c>
    </row>
    <row r="39" spans="1:2" s="71" customFormat="1" ht="31" x14ac:dyDescent="0.35">
      <c r="A39" s="69" t="s">
        <v>24</v>
      </c>
      <c r="B39" s="70" t="s">
        <v>192</v>
      </c>
    </row>
    <row r="40" spans="1:2" s="71" customFormat="1" ht="46.5" x14ac:dyDescent="0.35">
      <c r="A40" s="69" t="s">
        <v>29</v>
      </c>
      <c r="B40" s="70" t="s">
        <v>216</v>
      </c>
    </row>
    <row r="41" spans="1:2" s="71" customFormat="1" ht="46.5" x14ac:dyDescent="0.35">
      <c r="A41" s="56" t="s">
        <v>96</v>
      </c>
      <c r="B41" s="70" t="s">
        <v>205</v>
      </c>
    </row>
    <row r="42" spans="1:2" s="71" customFormat="1" ht="46.5" x14ac:dyDescent="0.35">
      <c r="A42" s="69" t="s">
        <v>20</v>
      </c>
      <c r="B42" s="70" t="s">
        <v>193</v>
      </c>
    </row>
    <row r="43" spans="1:2" s="71" customFormat="1" ht="31" x14ac:dyDescent="0.35">
      <c r="A43" s="56" t="s">
        <v>97</v>
      </c>
      <c r="B43" s="70" t="s">
        <v>230</v>
      </c>
    </row>
    <row r="44" spans="1:2" s="71" customFormat="1" ht="46.5" x14ac:dyDescent="0.35">
      <c r="A44" s="56" t="s">
        <v>194</v>
      </c>
      <c r="B44" s="70" t="s">
        <v>195</v>
      </c>
    </row>
    <row r="45" spans="1:2" s="71" customFormat="1" ht="46.5" x14ac:dyDescent="0.35">
      <c r="A45" s="56" t="s">
        <v>98</v>
      </c>
      <c r="B45" s="70" t="s">
        <v>196</v>
      </c>
    </row>
    <row r="46" spans="1:2" s="71" customFormat="1" ht="124" x14ac:dyDescent="0.35">
      <c r="A46" s="56" t="s">
        <v>160</v>
      </c>
      <c r="B46" s="70" t="s">
        <v>217</v>
      </c>
    </row>
    <row r="47" spans="1:2" s="71" customFormat="1" ht="93" x14ac:dyDescent="0.35">
      <c r="A47" s="69" t="s">
        <v>59</v>
      </c>
      <c r="B47" s="70" t="s">
        <v>197</v>
      </c>
    </row>
    <row r="48" spans="1:2" s="71" customFormat="1" ht="201.5" x14ac:dyDescent="0.35">
      <c r="A48" s="56" t="s">
        <v>99</v>
      </c>
      <c r="B48" s="70" t="s">
        <v>231</v>
      </c>
    </row>
    <row r="49" spans="1:2" s="71" customFormat="1" ht="68.5" customHeight="1" x14ac:dyDescent="0.35">
      <c r="A49" s="69" t="s">
        <v>55</v>
      </c>
      <c r="B49" s="70" t="s">
        <v>232</v>
      </c>
    </row>
    <row r="50" spans="1:2" s="71" customFormat="1" ht="108.5" x14ac:dyDescent="0.35">
      <c r="A50" s="56" t="s">
        <v>198</v>
      </c>
      <c r="B50" s="70" t="s">
        <v>233</v>
      </c>
    </row>
    <row r="51" spans="1:2" s="71" customFormat="1" ht="93" x14ac:dyDescent="0.35">
      <c r="A51" s="56" t="s">
        <v>100</v>
      </c>
      <c r="B51" s="70" t="s">
        <v>234</v>
      </c>
    </row>
    <row r="52" spans="1:2" s="71" customFormat="1" ht="56" x14ac:dyDescent="0.35">
      <c r="A52" s="69" t="s">
        <v>58</v>
      </c>
      <c r="B52" s="78" t="s">
        <v>235</v>
      </c>
    </row>
    <row r="53" spans="1:2" s="71" customFormat="1" ht="62" x14ac:dyDescent="0.35">
      <c r="A53" s="81" t="s">
        <v>143</v>
      </c>
      <c r="B53" s="82" t="s">
        <v>236</v>
      </c>
    </row>
    <row r="54" spans="1:2" s="71" customFormat="1" ht="15" thickBot="1" x14ac:dyDescent="0.4">
      <c r="A54" s="83" t="s">
        <v>199</v>
      </c>
      <c r="B54" s="84"/>
    </row>
    <row r="55" spans="1:2" s="71" customFormat="1" ht="15" thickBot="1" x14ac:dyDescent="0.4">
      <c r="A55" s="83" t="s">
        <v>200</v>
      </c>
      <c r="B55" s="85"/>
    </row>
    <row r="56" spans="1:2" s="71" customFormat="1" ht="108.5" x14ac:dyDescent="0.35">
      <c r="A56" s="81" t="s">
        <v>146</v>
      </c>
      <c r="B56" s="82" t="s">
        <v>237</v>
      </c>
    </row>
    <row r="57" spans="1:2" s="71" customFormat="1" ht="93" x14ac:dyDescent="0.35">
      <c r="A57" s="56" t="s">
        <v>227</v>
      </c>
      <c r="B57" s="72" t="s">
        <v>225</v>
      </c>
    </row>
    <row r="58" spans="1:2" s="71" customFormat="1" ht="62" x14ac:dyDescent="0.35">
      <c r="A58" s="56" t="s">
        <v>148</v>
      </c>
      <c r="B58" s="72" t="s">
        <v>238</v>
      </c>
    </row>
    <row r="59" spans="1:2" s="71" customFormat="1" ht="77.5" x14ac:dyDescent="0.35">
      <c r="A59" s="56" t="s">
        <v>201</v>
      </c>
      <c r="B59" s="72" t="s">
        <v>202</v>
      </c>
    </row>
    <row r="60" spans="1:2" s="71" customFormat="1" ht="139.5" x14ac:dyDescent="0.35">
      <c r="A60" s="49" t="s">
        <v>203</v>
      </c>
      <c r="B60" s="94" t="s">
        <v>218</v>
      </c>
    </row>
    <row r="61" spans="1:2" s="71" customFormat="1" ht="124" x14ac:dyDescent="0.35">
      <c r="A61" s="76" t="s">
        <v>151</v>
      </c>
      <c r="B61" s="72" t="s">
        <v>219</v>
      </c>
    </row>
    <row r="62" spans="1:2" s="71" customFormat="1" ht="124" x14ac:dyDescent="0.35">
      <c r="A62" s="81" t="s">
        <v>48</v>
      </c>
      <c r="B62" s="72" t="s">
        <v>239</v>
      </c>
    </row>
    <row r="63" spans="1:2" s="71" customFormat="1" ht="62" x14ac:dyDescent="0.35">
      <c r="A63" s="86" t="s">
        <v>49</v>
      </c>
      <c r="B63" s="72" t="s">
        <v>240</v>
      </c>
    </row>
    <row r="64" spans="1:2" s="71" customFormat="1" ht="62" x14ac:dyDescent="0.35">
      <c r="A64" s="81" t="s">
        <v>152</v>
      </c>
      <c r="B64" s="82" t="s">
        <v>204</v>
      </c>
    </row>
  </sheetData>
  <autoFilter ref="A1:B52" xr:uid="{00000000-0009-0000-0000-000002000000}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tabSelected="1" topLeftCell="A25" zoomScale="59" zoomScaleNormal="59" workbookViewId="0">
      <selection activeCell="H28" sqref="H28:H29"/>
    </sheetView>
  </sheetViews>
  <sheetFormatPr defaultRowHeight="15.5" x14ac:dyDescent="0.35"/>
  <cols>
    <col min="1" max="1" width="6" style="136" customWidth="1"/>
    <col min="2" max="2" width="14.26953125" style="136" customWidth="1"/>
    <col min="3" max="3" width="46" style="136" customWidth="1"/>
    <col min="4" max="4" width="15" style="136" customWidth="1"/>
    <col min="5" max="5" width="20" style="136" customWidth="1"/>
    <col min="6" max="6" width="14.7265625" style="136" customWidth="1"/>
    <col min="7" max="7" width="16.81640625" style="136" customWidth="1"/>
    <col min="8" max="8" width="20.26953125" style="136" customWidth="1"/>
  </cols>
  <sheetData>
    <row r="1" spans="1:8" x14ac:dyDescent="0.35">
      <c r="A1" s="150" t="s">
        <v>245</v>
      </c>
      <c r="B1" s="150"/>
      <c r="C1" s="150"/>
      <c r="D1" s="150"/>
      <c r="E1" s="150"/>
      <c r="F1" s="150"/>
      <c r="G1" s="150"/>
      <c r="H1" s="150"/>
    </row>
    <row r="2" spans="1:8" ht="45" x14ac:dyDescent="0.35">
      <c r="A2" s="14" t="s">
        <v>9</v>
      </c>
      <c r="B2" s="15" t="s">
        <v>8</v>
      </c>
      <c r="C2" s="60" t="s">
        <v>101</v>
      </c>
      <c r="D2" s="60" t="s">
        <v>102</v>
      </c>
      <c r="E2" s="60" t="s">
        <v>226</v>
      </c>
      <c r="F2" s="60" t="s">
        <v>103</v>
      </c>
      <c r="G2" s="16" t="s">
        <v>1</v>
      </c>
      <c r="H2" s="16" t="s">
        <v>0</v>
      </c>
    </row>
    <row r="3" spans="1:8" ht="93" x14ac:dyDescent="0.35">
      <c r="A3" s="135">
        <v>1</v>
      </c>
      <c r="B3" s="52" t="s">
        <v>55</v>
      </c>
      <c r="C3" s="59" t="str">
        <f>VLOOKUP(B3:B27,Характеристика!$A$2:$B$64,2,FALSE)</f>
        <v>Капуста свежая, белокочанная. Первый класс. Кочаны свежие, целые, здоровые, чистые, вполне сформировавшиеся , без повреждений. Кочаны плотные, зачищены до плотно облегающих зеленых или белых листьев. ГОСТ 1724-85, ГОСТ Р 51809-2001.</v>
      </c>
      <c r="D3" s="54" t="s">
        <v>105</v>
      </c>
      <c r="E3" s="138">
        <f>анализ!C8</f>
        <v>469.1</v>
      </c>
      <c r="F3" s="151" t="s">
        <v>104</v>
      </c>
      <c r="G3" s="61">
        <f>анализ!W8</f>
        <v>59</v>
      </c>
      <c r="H3" s="62">
        <f>E3*G3</f>
        <v>27676.9</v>
      </c>
    </row>
    <row r="4" spans="1:8" ht="139.5" x14ac:dyDescent="0.35">
      <c r="A4" s="135">
        <v>2</v>
      </c>
      <c r="B4" s="56" t="s">
        <v>198</v>
      </c>
      <c r="C4" s="59" t="str">
        <f>VLOOKUP(B4:B28,Характеристика!$A$2:$B$64,2,FALSE)</f>
        <v>ГОСТ 34306-2017 Свежий. Весовой. Первый класс. Луковицы вызревшие, здоровые, чистые, целые, не проросшие, без повреждений сельскохозяйственными вредителями. Допускаются луковицы с разрывами наружных сухих чешуй. Запах и вкус должны быть свойственные данному ботаническому сорту, без постороннего запаха и привкуса.</v>
      </c>
      <c r="D4" s="54" t="s">
        <v>105</v>
      </c>
      <c r="E4" s="138">
        <f>анализ!C9</f>
        <v>390.22</v>
      </c>
      <c r="F4" s="152"/>
      <c r="G4" s="61">
        <f>анализ!W9</f>
        <v>52</v>
      </c>
      <c r="H4" s="62">
        <f t="shared" ref="H4:H27" si="0">E4*G4</f>
        <v>20291.440000000002</v>
      </c>
    </row>
    <row r="5" spans="1:8" ht="108.5" x14ac:dyDescent="0.35">
      <c r="A5" s="135">
        <v>3</v>
      </c>
      <c r="B5" s="49" t="s">
        <v>100</v>
      </c>
      <c r="C5" s="59" t="str">
        <f>VLOOKUP(B5:B30,Характеристика!$A$2:$B$64,2,FALSE)</f>
        <v>ГОСТ 32284-2013 Морковь столовая свежая. Первый класс. Корнеплоды свежие, целые, здоровые, чистые, не увядшие, не треснувшие, без признаков прорастания, без повреждения сельскохозяйственными вредителями. Запах и вкус свойственный данному ботаническому сорту</v>
      </c>
      <c r="D5" s="54" t="s">
        <v>105</v>
      </c>
      <c r="E5" s="138">
        <f>анализ!C10</f>
        <v>406.46</v>
      </c>
      <c r="F5" s="152"/>
      <c r="G5" s="61">
        <f>анализ!W10</f>
        <v>61</v>
      </c>
      <c r="H5" s="62">
        <f t="shared" si="0"/>
        <v>24794.059999999998</v>
      </c>
    </row>
    <row r="6" spans="1:8" ht="77.5" x14ac:dyDescent="0.35">
      <c r="A6" s="135">
        <v>4</v>
      </c>
      <c r="B6" s="52" t="s">
        <v>58</v>
      </c>
      <c r="C6" s="59" t="str">
        <f>VLOOKUP(B6:B31,Характеристика!$A$2:$B$64,2,FALSE)</f>
        <v>ГОСТ 32285-2013. Первый класс, свежая. Корнеплоды свежие, целые, здоровые, чистые, не увядшие, не трес-нувшие, без признаков прорастания, без повреждений сельскохозяйственными вредителями .</v>
      </c>
      <c r="D6" s="54" t="s">
        <v>105</v>
      </c>
      <c r="E6" s="138">
        <f>анализ!C11</f>
        <v>233.86</v>
      </c>
      <c r="F6" s="152"/>
      <c r="G6" s="61">
        <f>анализ!W11</f>
        <v>56</v>
      </c>
      <c r="H6" s="62">
        <f t="shared" si="0"/>
        <v>13096.16</v>
      </c>
    </row>
    <row r="7" spans="1:8" ht="232.5" x14ac:dyDescent="0.35">
      <c r="A7" s="135">
        <v>5</v>
      </c>
      <c r="B7" s="49" t="s">
        <v>99</v>
      </c>
      <c r="C7" s="59" t="str">
        <f>VLOOKUP(B7:B36,Характеристика!$A$2:$B$64,2,FALSE)</f>
        <v>ГОСТ 7176-2017 свежий, стандартный продовольственный, ранний и поздний. Картофель ранний - собранный до окончания срока его созревания, поступающий в продажу сразу после сбора до 1 сентября. картофель поздний: Картофель, собранный после окончания срока его созревания, поступающий в продажу с 1 сентября. Для раннего картофеля и для позднего клубни должны быть целые, чистые, здоровые, свежие, зрелые, полностью покрытые плотной кожурой, без излишней внешней влажности, не позеленевшие. Запах и вкус, свойственный данному ботаническому сорту, без постороннего запаха и (или) привкуса.</v>
      </c>
      <c r="D7" s="54" t="s">
        <v>105</v>
      </c>
      <c r="E7" s="138">
        <f>анализ!C12</f>
        <v>1217.54</v>
      </c>
      <c r="F7" s="152"/>
      <c r="G7" s="61">
        <f>анализ!W12</f>
        <v>49</v>
      </c>
      <c r="H7" s="62">
        <f t="shared" si="0"/>
        <v>59659.46</v>
      </c>
    </row>
    <row r="8" spans="1:8" ht="217" x14ac:dyDescent="0.35">
      <c r="A8" s="135">
        <v>6</v>
      </c>
      <c r="B8" s="49" t="s">
        <v>80</v>
      </c>
      <c r="C8" s="59" t="str">
        <f>VLOOKUP(B8:B37,Характеристика!$A$2:$B$64,2,FALSE)</f>
        <v>СТО 70315343-007-2014 Хлеб пшеничный из муки 1 сорта. Форма и поверхность : соответствующие виду хлеба, без крупных трещин и подрывов. Цвет: от светло-желтого до темно-коричневого; мякиш пропеченный, не липкий, не влажный на ощупь, эластичный. После легкого надавливания пальцами мякиш должен принимать первоночальную форму. Вкус и запах свойственный данному виду хлеба, без постороннего привкуса. Масса нетто 0,550 кг. Расфасованный в пакеты из полимерных материалов или др.индивидуальная упаковка согласно  ГОСТ 31752-2012.</v>
      </c>
      <c r="D8" s="63" t="s">
        <v>105</v>
      </c>
      <c r="E8" s="138">
        <f>анализ!C13</f>
        <v>208.45</v>
      </c>
      <c r="F8" s="152"/>
      <c r="G8" s="61">
        <f>анализ!W13</f>
        <v>84.9</v>
      </c>
      <c r="H8" s="62">
        <f t="shared" si="0"/>
        <v>17697.404999999999</v>
      </c>
    </row>
    <row r="9" spans="1:8" ht="217" x14ac:dyDescent="0.35">
      <c r="A9" s="135">
        <v>7</v>
      </c>
      <c r="B9" s="49" t="s">
        <v>81</v>
      </c>
      <c r="C9" s="59" t="str">
        <f>VLOOKUP(B9:B38,Характеристика!$A$2:$B$64,2,FALSE)</f>
        <v>СТО 70315343-008-2014 Батон столовый  из пшеничной муки высшего сорта.Форма продолговато-овальная, без притисков, не расплывчатая. Поверхность с косыми надрезами. Цвет: от светло-желтого до коричневого. Мякиш пропеченный, не липкий, не влажный на ощупь, эластичный. После легкого надавливания пальцами мякиш должен принимать первоначальную форму. Вкус и запах свойственный данному виду хлеба. Масса нетто 0,3 кг, фасованный в пакеты из полимерных материалов или др.индивидуальная упаковка согласно ГОСТ 31752-2012</v>
      </c>
      <c r="D9" s="63" t="s">
        <v>105</v>
      </c>
      <c r="E9" s="138">
        <f>анализ!C14</f>
        <v>324.3</v>
      </c>
      <c r="F9" s="152"/>
      <c r="G9" s="61">
        <f>анализ!W14</f>
        <v>95</v>
      </c>
      <c r="H9" s="62">
        <f t="shared" si="0"/>
        <v>30808.5</v>
      </c>
    </row>
    <row r="10" spans="1:8" ht="46.5" x14ac:dyDescent="0.35">
      <c r="A10" s="135">
        <v>8</v>
      </c>
      <c r="B10" s="49" t="s">
        <v>12</v>
      </c>
      <c r="C10" s="59" t="str">
        <f>VLOOKUP(B10:B39,Характеристика!$A$2:$B$64,2,FALSE)</f>
        <v>Из смеси ржаной и пшеничной муки 1 сорта, упакованный в пакеты из полимерных материалов, масса нетто 680 гр.ГОСТ 2077-84</v>
      </c>
      <c r="D10" s="63" t="s">
        <v>105</v>
      </c>
      <c r="E10" s="138">
        <f>анализ!C15</f>
        <v>335.92</v>
      </c>
      <c r="F10" s="152"/>
      <c r="G10" s="61">
        <f>анализ!W15</f>
        <v>64</v>
      </c>
      <c r="H10" s="62">
        <f t="shared" si="0"/>
        <v>21498.880000000001</v>
      </c>
    </row>
    <row r="11" spans="1:8" ht="77.5" x14ac:dyDescent="0.35">
      <c r="A11" s="135">
        <v>9</v>
      </c>
      <c r="B11" s="49" t="s">
        <v>90</v>
      </c>
      <c r="C11" s="59" t="str">
        <f>VLOOKUP(B11:B53,Характеристика!$A$2:$B$64,2,FALSE)</f>
        <v>ТР ТС 021/2011 весовые, плоды свежие, чистые, без механических повреждений, без повреждений вредителями и болезнями, запах свойственным свежим апельсинам, окраска от светло-оранжевой до оранжевой.</v>
      </c>
      <c r="D11" s="63" t="s">
        <v>105</v>
      </c>
      <c r="E11" s="138">
        <f>анализ!C16</f>
        <v>207.64</v>
      </c>
      <c r="F11" s="152"/>
      <c r="G11" s="61">
        <f>анализ!W16</f>
        <v>180</v>
      </c>
      <c r="H11" s="62">
        <f t="shared" si="0"/>
        <v>37375.199999999997</v>
      </c>
    </row>
    <row r="12" spans="1:8" ht="93" x14ac:dyDescent="0.35">
      <c r="A12" s="135">
        <v>10</v>
      </c>
      <c r="B12" s="49" t="s">
        <v>91</v>
      </c>
      <c r="C12" s="59" t="str">
        <f>VLOOKUP(B12:B54,Характеристика!$A$2:$B$64,2,FALSE)</f>
        <v>ТР ТС 021/2011 весовые, плоды свежие,чистые,без механических повреждений, без повреждений вредителями и болезнями,  запах свойственен свежим лимонам, окраска от светло-зеленой до желтой.</v>
      </c>
      <c r="D12" s="63" t="s">
        <v>105</v>
      </c>
      <c r="E12" s="138">
        <f>анализ!C17</f>
        <v>19.72</v>
      </c>
      <c r="F12" s="152"/>
      <c r="G12" s="61">
        <f>анализ!W17</f>
        <v>180</v>
      </c>
      <c r="H12" s="62">
        <f t="shared" si="0"/>
        <v>3549.6</v>
      </c>
    </row>
    <row r="13" spans="1:8" ht="31" x14ac:dyDescent="0.35">
      <c r="A13" s="135">
        <v>11</v>
      </c>
      <c r="B13" s="52" t="s">
        <v>33</v>
      </c>
      <c r="C13" s="59" t="str">
        <f>VLOOKUP(B13:B63,Характеристика!$A$2:$B$64,2,FALSE)</f>
        <v>ГОСТ 31743-2017, группа В, высший сорт,весовые. Упаковка производителя.</v>
      </c>
      <c r="D13" s="63" t="s">
        <v>105</v>
      </c>
      <c r="E13" s="138">
        <f>анализ!C18</f>
        <v>78.88</v>
      </c>
      <c r="F13" s="152"/>
      <c r="G13" s="61">
        <f>анализ!W18</f>
        <v>76</v>
      </c>
      <c r="H13" s="62">
        <f t="shared" si="0"/>
        <v>5994.8799999999992</v>
      </c>
    </row>
    <row r="14" spans="1:8" ht="62" x14ac:dyDescent="0.35">
      <c r="A14" s="135">
        <v>12</v>
      </c>
      <c r="B14" s="49" t="s">
        <v>34</v>
      </c>
      <c r="C14" s="59" t="str">
        <f>VLOOKUP(B14:B64,Характеристика!$A$2:$B$64,2,FALSE)</f>
        <v>ГОСТ Р 55290-2012, ГОСТ 5550-2021 ядрица, 1 сорт, выработанная из пропаренного зерна, путем отделения ядра от плодовых оболочек.Упаковка производителя</v>
      </c>
      <c r="D14" s="63" t="s">
        <v>105</v>
      </c>
      <c r="E14" s="138">
        <f>анализ!C19</f>
        <v>66.12</v>
      </c>
      <c r="F14" s="152"/>
      <c r="G14" s="61">
        <f>анализ!W19</f>
        <v>62</v>
      </c>
      <c r="H14" s="62">
        <f t="shared" si="0"/>
        <v>4099.4400000000005</v>
      </c>
    </row>
    <row r="15" spans="1:8" ht="46.5" x14ac:dyDescent="0.35">
      <c r="A15" s="135">
        <v>13</v>
      </c>
      <c r="B15" s="53" t="s">
        <v>35</v>
      </c>
      <c r="C15" s="59" t="str">
        <f>VLOOKUP(B15:B65,Характеристика!$A$2:$B$64,2,FALSE)</f>
        <v>ГОСТ 7022-2019,  марка М, непрозрачная мучнистая крупка, без посторонних запахов, привкусов, весовая.Упаковка производителя</v>
      </c>
      <c r="D15" s="63" t="s">
        <v>105</v>
      </c>
      <c r="E15" s="138">
        <f>анализ!C20</f>
        <v>41.3</v>
      </c>
      <c r="F15" s="152"/>
      <c r="G15" s="61">
        <f>анализ!W20</f>
        <v>56</v>
      </c>
      <c r="H15" s="62">
        <f t="shared" si="0"/>
        <v>2312.7999999999997</v>
      </c>
    </row>
    <row r="16" spans="1:8" ht="93" x14ac:dyDescent="0.35">
      <c r="A16" s="135">
        <v>14</v>
      </c>
      <c r="B16" s="53" t="s">
        <v>36</v>
      </c>
      <c r="C16" s="59" t="str">
        <f>VLOOKUP(B16:B66,Характеристика!$A$2:$B$64,2,FALSE)</f>
        <v>ТУ 9294-008-54844059-02,  Крупа пшеничная,мелкодробленная  получаемая при переработке пшеницы твердых, мягких сортов. Цвет желтый. Вкус и запах свойственные пшеничной кру-пе.Упаковка производителя.</v>
      </c>
      <c r="D16" s="63" t="s">
        <v>105</v>
      </c>
      <c r="E16" s="138">
        <f>анализ!C21</f>
        <v>13.92</v>
      </c>
      <c r="F16" s="152"/>
      <c r="G16" s="61">
        <f>анализ!W21</f>
        <v>41</v>
      </c>
      <c r="H16" s="62">
        <f t="shared" si="0"/>
        <v>570.72</v>
      </c>
    </row>
    <row r="17" spans="1:8" ht="46.5" x14ac:dyDescent="0.35">
      <c r="A17" s="135">
        <v>15</v>
      </c>
      <c r="B17" s="53" t="s">
        <v>37</v>
      </c>
      <c r="C17" s="59" t="str">
        <f>VLOOKUP(B17:B67,Характеристика!$A$2:$B$64,2,FALSE)</f>
        <v>ГОСТ 5784-60, ядро освобожденное от цветковых пленок, хорошо отшлифованное.Упаковка произ-водителя</v>
      </c>
      <c r="D17" s="63" t="s">
        <v>105</v>
      </c>
      <c r="E17" s="138">
        <f>анализ!C22</f>
        <v>12.06</v>
      </c>
      <c r="F17" s="152"/>
      <c r="G17" s="61">
        <f>анализ!W22</f>
        <v>36</v>
      </c>
      <c r="H17" s="62">
        <f t="shared" si="0"/>
        <v>434.16</v>
      </c>
    </row>
    <row r="18" spans="1:8" ht="62" x14ac:dyDescent="0.35">
      <c r="A18" s="135">
        <v>16</v>
      </c>
      <c r="B18" s="56" t="s">
        <v>182</v>
      </c>
      <c r="C18" s="59" t="str">
        <f>VLOOKUP(B18:B68,Характеристика!$A$2:$B$64,2,FALSE)</f>
        <v>ГОСТ 21149-93, ГОСТ 21149-2022 "Геркулес" недробленная, продукт полученный из овса, прошедшего пропаривание, шелушение и шлифование. Упаковка производителя</v>
      </c>
      <c r="D18" s="63" t="s">
        <v>105</v>
      </c>
      <c r="E18" s="138">
        <f>анализ!C23</f>
        <v>6.96</v>
      </c>
      <c r="F18" s="152"/>
      <c r="G18" s="61">
        <f>анализ!W23</f>
        <v>49</v>
      </c>
      <c r="H18" s="62">
        <f t="shared" si="0"/>
        <v>341.04</v>
      </c>
    </row>
    <row r="19" spans="1:8" ht="31" x14ac:dyDescent="0.35">
      <c r="A19" s="135">
        <v>17</v>
      </c>
      <c r="B19" s="49" t="s">
        <v>86</v>
      </c>
      <c r="C19" s="59" t="str">
        <f>VLOOKUP(B19:B69,Характеристика!$A$2:$B$64,2,FALSE)</f>
        <v>ГОСТ 572-2016, 1 сорт, шлифованное, весовое. Упаковка производителя.</v>
      </c>
      <c r="D19" s="63" t="s">
        <v>105</v>
      </c>
      <c r="E19" s="138">
        <f>анализ!C24</f>
        <v>25.52</v>
      </c>
      <c r="F19" s="152"/>
      <c r="G19" s="61">
        <f>анализ!W24</f>
        <v>42</v>
      </c>
      <c r="H19" s="62">
        <f t="shared" si="0"/>
        <v>1071.8399999999999</v>
      </c>
    </row>
    <row r="20" spans="1:8" ht="77.5" x14ac:dyDescent="0.35">
      <c r="A20" s="135">
        <v>18</v>
      </c>
      <c r="B20" s="49" t="s">
        <v>87</v>
      </c>
      <c r="C20" s="59" t="str">
        <f>VLOOKUP(B20:B70,Характеристика!$A$2:$B$64,2,FALSE)</f>
        <v>ГОСТ 6292-93, шлифованный первый сорт, цвет белый с различными оттенками, без посторонних вкусов и запахов, круглозернистый, весовой.Упаковка производителя.</v>
      </c>
      <c r="D20" s="63" t="s">
        <v>105</v>
      </c>
      <c r="E20" s="138">
        <f>анализ!C25</f>
        <v>85.84</v>
      </c>
      <c r="F20" s="152"/>
      <c r="G20" s="61">
        <f>анализ!W25</f>
        <v>111</v>
      </c>
      <c r="H20" s="62">
        <f t="shared" si="0"/>
        <v>9528.24</v>
      </c>
    </row>
    <row r="21" spans="1:8" ht="46.5" x14ac:dyDescent="0.35">
      <c r="A21" s="135">
        <v>19</v>
      </c>
      <c r="B21" s="49" t="s">
        <v>157</v>
      </c>
      <c r="C21" s="59" t="str">
        <f>VLOOKUP(B21:B71,Характеристика!$A$2:$B$64,2,FALSE)</f>
        <v>ГОСТ 6201-68, 6201-2020 колтый,шлифованный  1 сорт,  цвет желтый. Упаковка производителя</v>
      </c>
      <c r="D21" s="63" t="s">
        <v>105</v>
      </c>
      <c r="E21" s="138">
        <f>анализ!C26</f>
        <v>32.479999999999997</v>
      </c>
      <c r="F21" s="152"/>
      <c r="G21" s="61">
        <f>анализ!W26</f>
        <v>57</v>
      </c>
      <c r="H21" s="62">
        <f t="shared" si="0"/>
        <v>1851.36</v>
      </c>
    </row>
    <row r="22" spans="1:8" ht="46.5" x14ac:dyDescent="0.35">
      <c r="A22" s="135">
        <v>20</v>
      </c>
      <c r="B22" s="49" t="s">
        <v>85</v>
      </c>
      <c r="C22" s="59" t="str">
        <f>VLOOKUP(B22:B72,Характеристика!$A$2:$B$64,2,FALSE)</f>
        <v>ГОСТ 26574-2017 высший сорт, весовая, хлебопекарная, тара - мешок — ПВХ. Упаковка производителя.</v>
      </c>
      <c r="D22" s="63" t="s">
        <v>105</v>
      </c>
      <c r="E22" s="138">
        <f>анализ!C27</f>
        <v>197.2</v>
      </c>
      <c r="F22" s="152"/>
      <c r="G22" s="61">
        <f>анализ!W27</f>
        <v>50</v>
      </c>
      <c r="H22" s="62">
        <f t="shared" si="0"/>
        <v>9860</v>
      </c>
    </row>
    <row r="23" spans="1:8" ht="46.5" x14ac:dyDescent="0.35">
      <c r="A23" s="135">
        <v>21</v>
      </c>
      <c r="B23" s="49" t="s">
        <v>43</v>
      </c>
      <c r="C23" s="59" t="str">
        <f>VLOOKUP(B23:B73,Характеристика!$A$2:$B$64,2,FALSE)</f>
        <v>ГОСТ 51574-2018, каменная, 1 сорт, выварочная с добавкой йода. Масса нетто 1000г (1 кг)</v>
      </c>
      <c r="D23" s="63" t="s">
        <v>105</v>
      </c>
      <c r="E23" s="138">
        <f>анализ!C28</f>
        <v>32</v>
      </c>
      <c r="F23" s="152"/>
      <c r="G23" s="61">
        <f>анализ!W28</f>
        <v>20</v>
      </c>
      <c r="H23" s="62">
        <f t="shared" si="0"/>
        <v>640</v>
      </c>
    </row>
    <row r="24" spans="1:8" ht="62" x14ac:dyDescent="0.35">
      <c r="A24" s="135">
        <v>22</v>
      </c>
      <c r="B24" s="49" t="s">
        <v>96</v>
      </c>
      <c r="C24" s="59" t="str">
        <f>VLOOKUP(B24:B74,Характеристика!$A$2:$B$64,2,FALSE)</f>
        <v>ГОСТ 33222-2015, сыпучий, белый, сладкий, без посторонних привкуса и запаха, весовой,фасованный в полипропиленовые мешки. Упаковка производителя</v>
      </c>
      <c r="D24" s="63" t="s">
        <v>105</v>
      </c>
      <c r="E24" s="138">
        <f>анализ!C29</f>
        <v>203</v>
      </c>
      <c r="F24" s="152"/>
      <c r="G24" s="61">
        <f>анализ!W29</f>
        <v>78</v>
      </c>
      <c r="H24" s="62">
        <f t="shared" si="0"/>
        <v>15834</v>
      </c>
    </row>
    <row r="25" spans="1:8" ht="62" x14ac:dyDescent="0.35">
      <c r="A25" s="135">
        <v>23</v>
      </c>
      <c r="B25" s="69" t="s">
        <v>212</v>
      </c>
      <c r="C25" s="59" t="str">
        <f>VLOOKUP(B25:B75,Характеристика!$A$2:$B$64,2,FALSE)</f>
        <v>ГОСТ 1129-2013. подсолнечное, рафинированное, дезодорированное, первый сорт, в пластиковых бутылках  не более 1 литра, масса нетто 920 грамм (0,92 кг)</v>
      </c>
      <c r="D25" s="63" t="s">
        <v>105</v>
      </c>
      <c r="E25" s="138">
        <f>анализ!C30</f>
        <v>73.599999999999994</v>
      </c>
      <c r="F25" s="152"/>
      <c r="G25" s="61">
        <f>анализ!W30</f>
        <v>150</v>
      </c>
      <c r="H25" s="62">
        <f t="shared" si="0"/>
        <v>11040</v>
      </c>
    </row>
    <row r="26" spans="1:8" ht="31" x14ac:dyDescent="0.35">
      <c r="A26" s="135">
        <v>24</v>
      </c>
      <c r="B26" s="49" t="s">
        <v>93</v>
      </c>
      <c r="C26" s="59" t="str">
        <f>VLOOKUP(B26:B76,Характеристика!$A$2:$B$64,2,FALSE)</f>
        <v xml:space="preserve">ТР ТС   021/2011  </v>
      </c>
      <c r="D26" s="63" t="s">
        <v>105</v>
      </c>
      <c r="E26" s="138">
        <f>анализ!C31</f>
        <v>19.72</v>
      </c>
      <c r="F26" s="152"/>
      <c r="G26" s="61">
        <f>анализ!W31</f>
        <v>263</v>
      </c>
      <c r="H26" s="62">
        <f t="shared" si="0"/>
        <v>5186.3599999999997</v>
      </c>
    </row>
    <row r="27" spans="1:8" ht="139.5" x14ac:dyDescent="0.35">
      <c r="A27" s="135">
        <v>25</v>
      </c>
      <c r="B27" s="49" t="s">
        <v>151</v>
      </c>
      <c r="C27" s="59" t="str">
        <f>VLOOKUP(B27:B85,Характеристика!$A$2:$B$64,2,FALSE)</f>
        <v>ТР ТС 021/2011 свежие, 1 сорт. Площадь окрашенной поверхно-сти красной окраски 1/2. Плоды здоровые, свежие, целые, чистые.  Запах и вкус свойственные данному сорту, без постороннего запаха и/или привкуса. Плоды должны быть съемной степени зрелости. Мякоть должна быть доброкачественная. Не допускается: наличие гнилых яблок,  испорченных, перезрелых.</v>
      </c>
      <c r="D27" s="63" t="s">
        <v>105</v>
      </c>
      <c r="E27" s="138">
        <f>анализ!C32</f>
        <v>462.84</v>
      </c>
      <c r="F27" s="152"/>
      <c r="G27" s="61">
        <f>анализ!W32</f>
        <v>127</v>
      </c>
      <c r="H27" s="62">
        <f t="shared" si="0"/>
        <v>58780.68</v>
      </c>
    </row>
    <row r="28" spans="1:8" x14ac:dyDescent="0.35">
      <c r="A28" s="54"/>
      <c r="B28" s="54" t="s">
        <v>241</v>
      </c>
      <c r="C28" s="54"/>
      <c r="D28" s="54"/>
      <c r="E28" s="54"/>
      <c r="F28" s="54"/>
      <c r="G28" s="54"/>
      <c r="H28" s="157">
        <f>SUM(H3:H27)</f>
        <v>383993.12499999988</v>
      </c>
    </row>
    <row r="29" spans="1:8" x14ac:dyDescent="0.35">
      <c r="A29" s="154" t="s">
        <v>242</v>
      </c>
      <c r="B29" s="155"/>
      <c r="C29" s="155"/>
      <c r="D29" s="155"/>
      <c r="E29" s="155"/>
      <c r="F29" s="155"/>
      <c r="G29" s="156"/>
      <c r="H29" s="137">
        <f>H28*10/110</f>
        <v>34908.465909090897</v>
      </c>
    </row>
    <row r="30" spans="1:8" x14ac:dyDescent="0.35">
      <c r="A30" s="153" t="str">
        <f>Данные!AB2</f>
        <v>Л.В.Жорина</v>
      </c>
      <c r="B30" s="153"/>
      <c r="C30" s="153"/>
      <c r="D30" s="55"/>
      <c r="E30" s="55"/>
      <c r="F30" s="55"/>
      <c r="G30" s="153" t="str">
        <f>Данные!AB6</f>
        <v>Ф.Б.Сатукова</v>
      </c>
      <c r="H30" s="153"/>
    </row>
  </sheetData>
  <mergeCells count="5">
    <mergeCell ref="A1:H1"/>
    <mergeCell ref="F3:F27"/>
    <mergeCell ref="A30:C30"/>
    <mergeCell ref="G30:H30"/>
    <mergeCell ref="A29:G29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анализ</vt:lpstr>
      <vt:lpstr>Характеристика</vt:lpstr>
      <vt:lpstr>Спецификация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2024-12-24T11:51:07Z</cp:lastPrinted>
  <dcterms:created xsi:type="dcterms:W3CDTF">2020-11-24T12:04:59Z</dcterms:created>
  <dcterms:modified xsi:type="dcterms:W3CDTF">2024-12-24T11:53:09Z</dcterms:modified>
</cp:coreProperties>
</file>